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/>
  <mc:AlternateContent xmlns:mc="http://schemas.openxmlformats.org/markup-compatibility/2006">
    <mc:Choice Requires="x15">
      <x15ac:absPath xmlns:x15ac="http://schemas.microsoft.com/office/spreadsheetml/2010/11/ac" url="C:\Manufacturers\Metabo\"/>
    </mc:Choice>
  </mc:AlternateContent>
  <xr:revisionPtr revIDLastSave="0" documentId="8_{775FF5FA-3265-4156-9A0C-F675AF6E0950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Technical Data Imperial" sheetId="2" r:id="rId1"/>
    <sheet name="Calculator Imperial" sheetId="3" r:id="rId2"/>
    <sheet name="Technical Data Metric" sheetId="5" r:id="rId3"/>
    <sheet name="Calculator Metric" sheetId="4" r:id="rId4"/>
  </sheets>
  <definedNames>
    <definedName name="AngleDepth" localSheetId="1">'Calculator Imperial'!$J$8:$U$15</definedName>
    <definedName name="AngleDepth" localSheetId="3">'Calculator Metric'!$J$8:$U$15</definedName>
    <definedName name="AngleDepth" localSheetId="2">#REF!</definedName>
    <definedName name="AngleDepth">#REF!</definedName>
    <definedName name="AngleDepthMetric" localSheetId="2">#REF!</definedName>
    <definedName name="AngleDepthMetric">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27" i="4" l="1"/>
  <c r="K19" i="4"/>
  <c r="L19" i="4" s="1"/>
  <c r="M19" i="4" s="1"/>
  <c r="K20" i="4"/>
  <c r="L20" i="4"/>
  <c r="M20" i="4" s="1"/>
  <c r="N20" i="4" s="1"/>
  <c r="S21" i="4" s="1"/>
  <c r="T21" i="4" s="1"/>
  <c r="K21" i="4"/>
  <c r="L21" i="4"/>
  <c r="M21" i="4"/>
  <c r="N21" i="4" s="1"/>
  <c r="S22" i="4" s="1"/>
  <c r="T22" i="4" s="1"/>
  <c r="K22" i="4"/>
  <c r="L22" i="4"/>
  <c r="M22" i="4" s="1"/>
  <c r="N22" i="4" s="1"/>
  <c r="S23" i="4" s="1"/>
  <c r="T23" i="4" s="1"/>
  <c r="C23" i="4"/>
  <c r="V9" i="4"/>
  <c r="W9" i="4"/>
  <c r="X9" i="4"/>
  <c r="Y9" i="4"/>
  <c r="V10" i="4"/>
  <c r="W10" i="4"/>
  <c r="X10" i="4"/>
  <c r="Y10" i="4"/>
  <c r="V11" i="4"/>
  <c r="W11" i="4"/>
  <c r="X11" i="4"/>
  <c r="Y11" i="4"/>
  <c r="V12" i="4"/>
  <c r="W12" i="4"/>
  <c r="X12" i="4"/>
  <c r="Y12" i="4"/>
  <c r="V13" i="4"/>
  <c r="W13" i="4"/>
  <c r="X13" i="4"/>
  <c r="Y13" i="4"/>
  <c r="V14" i="4"/>
  <c r="W14" i="4"/>
  <c r="X14" i="4"/>
  <c r="Y14" i="4"/>
  <c r="V15" i="4"/>
  <c r="W15" i="4"/>
  <c r="X15" i="4"/>
  <c r="Y15" i="4"/>
  <c r="K9" i="4"/>
  <c r="L9" i="4"/>
  <c r="M9" i="4"/>
  <c r="N9" i="4"/>
  <c r="O9" i="4"/>
  <c r="P9" i="4"/>
  <c r="Q9" i="4"/>
  <c r="R9" i="4"/>
  <c r="S9" i="4"/>
  <c r="T9" i="4"/>
  <c r="U9" i="4"/>
  <c r="K10" i="4"/>
  <c r="L10" i="4"/>
  <c r="M10" i="4"/>
  <c r="N10" i="4"/>
  <c r="O10" i="4"/>
  <c r="P10" i="4"/>
  <c r="Q10" i="4"/>
  <c r="R10" i="4"/>
  <c r="S10" i="4"/>
  <c r="T10" i="4"/>
  <c r="U10" i="4"/>
  <c r="K11" i="4"/>
  <c r="L11" i="4"/>
  <c r="M11" i="4"/>
  <c r="N11" i="4"/>
  <c r="O11" i="4"/>
  <c r="P11" i="4"/>
  <c r="Q11" i="4"/>
  <c r="R11" i="4"/>
  <c r="S11" i="4"/>
  <c r="T11" i="4"/>
  <c r="U11" i="4"/>
  <c r="K12" i="4"/>
  <c r="L12" i="4"/>
  <c r="M12" i="4"/>
  <c r="N12" i="4"/>
  <c r="O12" i="4"/>
  <c r="P12" i="4"/>
  <c r="Q12" i="4"/>
  <c r="R12" i="4"/>
  <c r="S12" i="4"/>
  <c r="T12" i="4"/>
  <c r="U12" i="4"/>
  <c r="K13" i="4"/>
  <c r="L13" i="4"/>
  <c r="M13" i="4"/>
  <c r="N13" i="4"/>
  <c r="O13" i="4"/>
  <c r="P13" i="4"/>
  <c r="Q13" i="4"/>
  <c r="R13" i="4"/>
  <c r="S13" i="4"/>
  <c r="T13" i="4"/>
  <c r="U13" i="4"/>
  <c r="K14" i="4"/>
  <c r="L14" i="4"/>
  <c r="M14" i="4"/>
  <c r="N14" i="4"/>
  <c r="O14" i="4"/>
  <c r="P14" i="4"/>
  <c r="Q14" i="4"/>
  <c r="R14" i="4"/>
  <c r="S14" i="4"/>
  <c r="T14" i="4"/>
  <c r="U14" i="4"/>
  <c r="K15" i="4"/>
  <c r="L15" i="4"/>
  <c r="M15" i="4"/>
  <c r="N15" i="4"/>
  <c r="O15" i="4"/>
  <c r="P15" i="4"/>
  <c r="Q15" i="4"/>
  <c r="R15" i="4"/>
  <c r="S15" i="4"/>
  <c r="T15" i="4"/>
  <c r="U15" i="4"/>
  <c r="J26" i="4"/>
  <c r="J27" i="4"/>
  <c r="J28" i="4"/>
  <c r="J29" i="4"/>
  <c r="O55" i="4"/>
  <c r="J55" i="4"/>
  <c r="O54" i="4"/>
  <c r="J54" i="4"/>
  <c r="O53" i="4"/>
  <c r="J53" i="4"/>
  <c r="O52" i="4"/>
  <c r="J52" i="4"/>
  <c r="N49" i="4"/>
  <c r="N48" i="4"/>
  <c r="N47" i="4"/>
  <c r="N46" i="4"/>
  <c r="N42" i="4"/>
  <c r="M42" i="4"/>
  <c r="L42" i="4"/>
  <c r="K42" i="4"/>
  <c r="O42" i="4" s="1"/>
  <c r="J42" i="4"/>
  <c r="N41" i="4"/>
  <c r="M41" i="4"/>
  <c r="L41" i="4"/>
  <c r="O41" i="4" s="1"/>
  <c r="K41" i="4"/>
  <c r="J41" i="4"/>
  <c r="N40" i="4"/>
  <c r="M40" i="4"/>
  <c r="L40" i="4"/>
  <c r="K40" i="4"/>
  <c r="O40" i="4" s="1"/>
  <c r="J40" i="4"/>
  <c r="N39" i="4"/>
  <c r="M39" i="4"/>
  <c r="L39" i="4"/>
  <c r="K39" i="4"/>
  <c r="O39" i="4" s="1"/>
  <c r="J39" i="4"/>
  <c r="M36" i="4"/>
  <c r="L36" i="4"/>
  <c r="K36" i="4"/>
  <c r="N36" i="4"/>
  <c r="M35" i="4"/>
  <c r="L35" i="4"/>
  <c r="K35" i="4"/>
  <c r="M34" i="4"/>
  <c r="L34" i="4"/>
  <c r="K34" i="4"/>
  <c r="M33" i="4"/>
  <c r="L33" i="4"/>
  <c r="K33" i="4"/>
  <c r="K29" i="4"/>
  <c r="L29" i="4"/>
  <c r="M29" i="4" s="1"/>
  <c r="N29" i="4" s="1"/>
  <c r="K28" i="4"/>
  <c r="O28" i="4" s="1"/>
  <c r="L28" i="4"/>
  <c r="M28" i="4"/>
  <c r="N28" i="4" s="1"/>
  <c r="K27" i="4"/>
  <c r="L27" i="4"/>
  <c r="M27" i="4" s="1"/>
  <c r="K26" i="4"/>
  <c r="L26" i="4"/>
  <c r="M26" i="4"/>
  <c r="S26" i="4"/>
  <c r="C22" i="4"/>
  <c r="C24" i="4"/>
  <c r="B26" i="4" s="1"/>
  <c r="B27" i="4" s="1"/>
  <c r="L5" i="4"/>
  <c r="L4" i="4"/>
  <c r="L3" i="4"/>
  <c r="N33" i="4"/>
  <c r="N35" i="4"/>
  <c r="N34" i="4"/>
  <c r="K57" i="3"/>
  <c r="L57" i="3"/>
  <c r="M57" i="3"/>
  <c r="N57" i="3"/>
  <c r="T20" i="3"/>
  <c r="K58" i="3"/>
  <c r="L58" i="3"/>
  <c r="M58" i="3"/>
  <c r="N58" i="3" s="1"/>
  <c r="T21" i="3" s="1"/>
  <c r="K59" i="3"/>
  <c r="N59" i="3" s="1"/>
  <c r="T22" i="3" s="1"/>
  <c r="L59" i="3"/>
  <c r="M59" i="3"/>
  <c r="K60" i="3"/>
  <c r="L60" i="3"/>
  <c r="M60" i="3"/>
  <c r="N60" i="3"/>
  <c r="T23" i="3"/>
  <c r="K48" i="3"/>
  <c r="N48" i="3" s="1"/>
  <c r="L48" i="3"/>
  <c r="M48" i="3"/>
  <c r="K54" i="3"/>
  <c r="L54" i="3"/>
  <c r="M54" i="3"/>
  <c r="N54" i="3"/>
  <c r="O54" i="3"/>
  <c r="M66" i="3"/>
  <c r="O66" i="3" s="1"/>
  <c r="L66" i="3"/>
  <c r="K66" i="3"/>
  <c r="K5" i="3"/>
  <c r="L5" i="3" s="1"/>
  <c r="K4" i="3"/>
  <c r="L4" i="3" s="1"/>
  <c r="K53" i="3"/>
  <c r="O53" i="3" s="1"/>
  <c r="L53" i="3"/>
  <c r="M53" i="3"/>
  <c r="N53" i="3"/>
  <c r="M47" i="3"/>
  <c r="L47" i="3"/>
  <c r="K47" i="3"/>
  <c r="S26" i="3"/>
  <c r="C22" i="3" s="1"/>
  <c r="S27" i="3"/>
  <c r="C23" i="3"/>
  <c r="L12" i="3"/>
  <c r="C24" i="3"/>
  <c r="K3" i="3"/>
  <c r="L3" i="3" s="1"/>
  <c r="K51" i="3"/>
  <c r="O51" i="3" s="1"/>
  <c r="L51" i="3"/>
  <c r="M51" i="3"/>
  <c r="N51" i="3"/>
  <c r="K52" i="3"/>
  <c r="L52" i="3"/>
  <c r="M52" i="3"/>
  <c r="O52" i="3" s="1"/>
  <c r="N52" i="3"/>
  <c r="K45" i="3"/>
  <c r="L45" i="3"/>
  <c r="N45" i="3" s="1"/>
  <c r="M45" i="3"/>
  <c r="K46" i="3"/>
  <c r="L46" i="3"/>
  <c r="M46" i="3"/>
  <c r="J54" i="3"/>
  <c r="J53" i="3"/>
  <c r="J52" i="3"/>
  <c r="J51" i="3"/>
  <c r="O79" i="3"/>
  <c r="J79" i="3"/>
  <c r="O78" i="3"/>
  <c r="J78" i="3"/>
  <c r="O77" i="3"/>
  <c r="J77" i="3"/>
  <c r="O76" i="3"/>
  <c r="J76" i="3"/>
  <c r="N73" i="3"/>
  <c r="N72" i="3"/>
  <c r="N71" i="3"/>
  <c r="N70" i="3"/>
  <c r="N66" i="3"/>
  <c r="K29" i="3"/>
  <c r="J66" i="3"/>
  <c r="N65" i="3"/>
  <c r="M65" i="3"/>
  <c r="L65" i="3"/>
  <c r="O65" i="3" s="1"/>
  <c r="K65" i="3"/>
  <c r="K28" i="3"/>
  <c r="J65" i="3"/>
  <c r="N64" i="3"/>
  <c r="M64" i="3"/>
  <c r="L64" i="3"/>
  <c r="K64" i="3"/>
  <c r="O64" i="3" s="1"/>
  <c r="K27" i="3"/>
  <c r="L27" i="3" s="1"/>
  <c r="M27" i="3" s="1"/>
  <c r="J64" i="3"/>
  <c r="N63" i="3"/>
  <c r="M63" i="3"/>
  <c r="L63" i="3"/>
  <c r="K63" i="3"/>
  <c r="K26" i="3" s="1"/>
  <c r="L26" i="3" s="1"/>
  <c r="M26" i="3" s="1"/>
  <c r="N26" i="3" s="1"/>
  <c r="O26" i="3" s="1"/>
  <c r="J63" i="3"/>
  <c r="K41" i="3"/>
  <c r="L41" i="3" s="1"/>
  <c r="M41" i="3" s="1"/>
  <c r="N41" i="3" s="1"/>
  <c r="J41" i="3"/>
  <c r="K40" i="3"/>
  <c r="J40" i="3"/>
  <c r="K39" i="3"/>
  <c r="J39" i="3"/>
  <c r="K38" i="3"/>
  <c r="J38" i="3"/>
  <c r="K35" i="3"/>
  <c r="K34" i="3"/>
  <c r="N34" i="3" s="1"/>
  <c r="L34" i="3"/>
  <c r="K33" i="3"/>
  <c r="L33" i="3" s="1"/>
  <c r="M33" i="3" s="1"/>
  <c r="K32" i="3"/>
  <c r="L32" i="3" s="1"/>
  <c r="M32" i="3" s="1"/>
  <c r="N32" i="3" s="1"/>
  <c r="J29" i="3"/>
  <c r="J28" i="3"/>
  <c r="J27" i="3"/>
  <c r="J26" i="3"/>
  <c r="U15" i="3"/>
  <c r="T15" i="3"/>
  <c r="S15" i="3"/>
  <c r="R15" i="3"/>
  <c r="Q15" i="3"/>
  <c r="P15" i="3"/>
  <c r="O15" i="3"/>
  <c r="N15" i="3"/>
  <c r="M15" i="3"/>
  <c r="L15" i="3"/>
  <c r="K15" i="3"/>
  <c r="U14" i="3"/>
  <c r="T14" i="3"/>
  <c r="S14" i="3"/>
  <c r="R14" i="3"/>
  <c r="Q14" i="3"/>
  <c r="P14" i="3"/>
  <c r="O14" i="3"/>
  <c r="N14" i="3"/>
  <c r="M14" i="3"/>
  <c r="L14" i="3"/>
  <c r="K14" i="3"/>
  <c r="U13" i="3"/>
  <c r="T13" i="3"/>
  <c r="S13" i="3"/>
  <c r="R13" i="3"/>
  <c r="Q13" i="3"/>
  <c r="P13" i="3"/>
  <c r="O13" i="3"/>
  <c r="N13" i="3"/>
  <c r="M13" i="3"/>
  <c r="L13" i="3"/>
  <c r="K13" i="3"/>
  <c r="U12" i="3"/>
  <c r="T12" i="3"/>
  <c r="S12" i="3"/>
  <c r="R12" i="3"/>
  <c r="Q12" i="3"/>
  <c r="P12" i="3"/>
  <c r="O12" i="3"/>
  <c r="N12" i="3"/>
  <c r="M12" i="3"/>
  <c r="K12" i="3"/>
  <c r="U11" i="3"/>
  <c r="T11" i="3"/>
  <c r="S11" i="3"/>
  <c r="R11" i="3"/>
  <c r="Q11" i="3"/>
  <c r="P11" i="3"/>
  <c r="O11" i="3"/>
  <c r="N11" i="3"/>
  <c r="M11" i="3"/>
  <c r="L11" i="3"/>
  <c r="K11" i="3"/>
  <c r="U10" i="3"/>
  <c r="T10" i="3"/>
  <c r="S10" i="3"/>
  <c r="R10" i="3"/>
  <c r="Q10" i="3"/>
  <c r="P10" i="3"/>
  <c r="O10" i="3"/>
  <c r="N10" i="3"/>
  <c r="M10" i="3"/>
  <c r="L10" i="3"/>
  <c r="K10" i="3"/>
  <c r="U9" i="3"/>
  <c r="T9" i="3"/>
  <c r="S9" i="3"/>
  <c r="R9" i="3"/>
  <c r="Q9" i="3"/>
  <c r="P9" i="3"/>
  <c r="O9" i="3"/>
  <c r="N9" i="3"/>
  <c r="M9" i="3"/>
  <c r="L9" i="3"/>
  <c r="K9" i="3"/>
  <c r="N46" i="3"/>
  <c r="N47" i="3"/>
  <c r="O63" i="3"/>
  <c r="L39" i="3"/>
  <c r="M39" i="3"/>
  <c r="N39" i="3" s="1"/>
  <c r="M34" i="3"/>
  <c r="K22" i="3"/>
  <c r="L29" i="3"/>
  <c r="L38" i="3"/>
  <c r="M38" i="3" s="1"/>
  <c r="L40" i="3"/>
  <c r="M40" i="3"/>
  <c r="N40" i="3" s="1"/>
  <c r="K21" i="3"/>
  <c r="L21" i="3" s="1"/>
  <c r="M21" i="3" s="1"/>
  <c r="L35" i="3"/>
  <c r="M35" i="3"/>
  <c r="N35" i="3" s="1"/>
  <c r="K19" i="3"/>
  <c r="L19" i="3" s="1"/>
  <c r="M19" i="3" s="1"/>
  <c r="K20" i="3"/>
  <c r="L20" i="3" s="1"/>
  <c r="M20" i="3" s="1"/>
  <c r="N20" i="3" s="1"/>
  <c r="S21" i="3" s="1"/>
  <c r="L22" i="3"/>
  <c r="M22" i="3" s="1"/>
  <c r="O39" i="3" l="1"/>
  <c r="O29" i="4"/>
  <c r="N27" i="4"/>
  <c r="O27" i="4" s="1"/>
  <c r="L28" i="3"/>
  <c r="M28" i="3" s="1"/>
  <c r="N28" i="3" s="1"/>
  <c r="O41" i="3"/>
  <c r="N26" i="4"/>
  <c r="O26" i="4" s="1"/>
  <c r="B26" i="3"/>
  <c r="B27" i="3" s="1"/>
  <c r="S25" i="3" s="1"/>
  <c r="D18" i="3" s="1"/>
  <c r="N19" i="4"/>
  <c r="S20" i="4" s="1"/>
  <c r="T20" i="4" s="1"/>
  <c r="M29" i="3"/>
  <c r="N38" i="3"/>
  <c r="O38" i="3"/>
  <c r="N27" i="3"/>
  <c r="O27" i="3"/>
  <c r="N29" i="3"/>
  <c r="O29" i="3" s="1"/>
  <c r="S25" i="4"/>
  <c r="C29" i="4"/>
  <c r="C34" i="4"/>
  <c r="D21" i="4"/>
  <c r="N33" i="3"/>
  <c r="N19" i="3"/>
  <c r="S20" i="3" s="1"/>
  <c r="O40" i="3"/>
  <c r="N21" i="3"/>
  <c r="S22" i="3" s="1"/>
  <c r="N22" i="3"/>
  <c r="S23" i="3" s="1"/>
  <c r="D21" i="3" l="1"/>
  <c r="O28" i="3"/>
  <c r="C21" i="3"/>
  <c r="C34" i="3"/>
  <c r="C29" i="3"/>
  <c r="C35" i="4"/>
  <c r="D35" i="4" s="1"/>
  <c r="D34" i="4"/>
  <c r="C30" i="4"/>
  <c r="D29" i="4"/>
  <c r="D18" i="4"/>
  <c r="C21" i="4"/>
  <c r="C36" i="4" l="1"/>
  <c r="D36" i="4" s="1"/>
  <c r="C30" i="3"/>
  <c r="D29" i="3"/>
  <c r="C35" i="3"/>
  <c r="D35" i="3" s="1"/>
  <c r="D34" i="3"/>
  <c r="D30" i="4"/>
  <c r="C31" i="4"/>
  <c r="D31" i="4" s="1"/>
  <c r="C37" i="4"/>
  <c r="D37" i="4" s="1"/>
  <c r="C36" i="3" l="1"/>
  <c r="D36" i="3" s="1"/>
  <c r="D30" i="3"/>
  <c r="C31" i="3"/>
  <c r="D31" i="3" s="1"/>
  <c r="C37" i="3" l="1"/>
  <c r="D37" i="3" s="1"/>
</calcChain>
</file>

<file path=xl/sharedStrings.xml><?xml version="1.0" encoding="utf-8"?>
<sst xmlns="http://schemas.openxmlformats.org/spreadsheetml/2006/main" count="318" uniqueCount="91">
  <si>
    <t>KFM9</t>
  </si>
  <si>
    <t>KFM15</t>
  </si>
  <si>
    <t>KFM16</t>
  </si>
  <si>
    <t>Capacity at 45deg</t>
  </si>
  <si>
    <t>H (in.)</t>
  </si>
  <si>
    <t>x (in.)</t>
  </si>
  <si>
    <t>Application:</t>
  </si>
  <si>
    <t>Application</t>
  </si>
  <si>
    <t>Corded</t>
  </si>
  <si>
    <t>Cordless</t>
  </si>
  <si>
    <t>Bevel Depth (h):</t>
  </si>
  <si>
    <t>Bevel Width (b):</t>
  </si>
  <si>
    <t>Pass 1, x=</t>
  </si>
  <si>
    <t>Pass 2, x=</t>
  </si>
  <si>
    <t>Pass 3, x=</t>
  </si>
  <si>
    <t>Which means:</t>
  </si>
  <si>
    <t>What is your application (select from menu):</t>
  </si>
  <si>
    <t>Recommended for Fast Operation (shorter carbide life):</t>
  </si>
  <si>
    <t>KFM 18 LTX 3RF</t>
  </si>
  <si>
    <t>KFM 9-3 RF</t>
  </si>
  <si>
    <t>KFM 15-10 F or KFMPB 15-10 F</t>
  </si>
  <si>
    <t>KFM 16-15 F</t>
  </si>
  <si>
    <t>Surface for Fast operation:</t>
  </si>
  <si>
    <t>Pass1</t>
  </si>
  <si>
    <t>Pass2</t>
  </si>
  <si>
    <t>Pass3</t>
  </si>
  <si>
    <t>Pass4</t>
  </si>
  <si>
    <t>Tool Depth (x):</t>
  </si>
  <si>
    <t>Pass 4, x=</t>
  </si>
  <si>
    <t>Total</t>
  </si>
  <si>
    <t>Clics:</t>
  </si>
  <si>
    <t>mm</t>
  </si>
  <si>
    <t>inch</t>
  </si>
  <si>
    <t>Bevel for Fast operation:</t>
  </si>
  <si>
    <t>clics on the controler</t>
  </si>
  <si>
    <t>Recommended for Slow Operation (longer carbide life):</t>
  </si>
  <si>
    <t>Angle (a):</t>
  </si>
  <si>
    <t>Surface for Slow Application</t>
  </si>
  <si>
    <t>Bevel for Slow Application</t>
  </si>
  <si>
    <t>Controler depth (X) based on angle (a) and desired bevel depth (h)</t>
  </si>
  <si>
    <t>Bevel Depth h (in.)</t>
  </si>
  <si>
    <t>Angle a</t>
  </si>
  <si>
    <t>Let the program chose</t>
  </si>
  <si>
    <t>Tool in use:</t>
  </si>
  <si>
    <t>Recommended tool for the application:</t>
  </si>
  <si>
    <t>Application not possible</t>
  </si>
  <si>
    <t>KFM 9-3 RF </t>
  </si>
  <si>
    <t xml:space="preserve">KFM 15-10 F </t>
  </si>
  <si>
    <t>KFMPB 15-10 F </t>
  </si>
  <si>
    <t>KFM 16-15 F </t>
  </si>
  <si>
    <t>KFM 18 LTX 3 RF 2x 5.5Ah LiHD kit</t>
  </si>
  <si>
    <t>KFM 18 LTX 3 RF 18V bare</t>
  </si>
  <si>
    <t>Order No.</t>
  </si>
  <si>
    <t>Description</t>
  </si>
  <si>
    <t>KFM 9 / KFM 18</t>
  </si>
  <si>
    <t>KFM15 - KFM 16</t>
  </si>
  <si>
    <t>Screws for cutters for bevelling tool (10pcs)</t>
  </si>
  <si>
    <t>KFM 9 - 18 - 15 -16</t>
  </si>
  <si>
    <t>Model No.</t>
  </si>
  <si>
    <t>Tool associated</t>
  </si>
  <si>
    <t>Beveling tools</t>
  </si>
  <si>
    <t>Accessories</t>
  </si>
  <si>
    <t>18V bevel / chamfer / radius tool. Lock-on switch. 2 batteries and charger</t>
  </si>
  <si>
    <t>18V bevel / chamfer / radius tool. Lock-on switch. Bare tool</t>
  </si>
  <si>
    <t>8.0 Amps bevel / chamfer / radius tool. Lock-on switch.</t>
  </si>
  <si>
    <t>13.0 Amps bevel tool. Lock-on switch.</t>
  </si>
  <si>
    <t>13.0 Amps bevel tool. Paddle switch. Mechanical Brake &lt; 2 sec.</t>
  </si>
  <si>
    <t>14.2 Amps bevel tool. Lock-on switch.</t>
  </si>
  <si>
    <t>KFM 9-3 RF or KFM 18 LTX 3 RF</t>
  </si>
  <si>
    <t>Square Cutters (10pcs)</t>
  </si>
  <si>
    <t>45 degrees cutters (10pcs)</t>
  </si>
  <si>
    <t>R2 2mm - 5/64"  Radius cutters (10 pcs)</t>
  </si>
  <si>
    <t>R3 3mm - 1/8" Radius cutters (10 pcs)</t>
  </si>
  <si>
    <t>One clic represents (x):</t>
  </si>
  <si>
    <t>Max Capacity at selected angle</t>
  </si>
  <si>
    <t>Square Cutters Stainless (10pcs)</t>
  </si>
  <si>
    <t>Tool</t>
  </si>
  <si>
    <t>H</t>
  </si>
  <si>
    <t>X</t>
  </si>
  <si>
    <t>Watch the video for the KFM 9-3 RF and KFM 18 LTX 3 RF:</t>
  </si>
  <si>
    <t>Watch the video for the KFM 15-10 and KFM 16-15:</t>
  </si>
  <si>
    <t>H (mm.)</t>
  </si>
  <si>
    <t>Bevel Depth h (mm)</t>
  </si>
  <si>
    <t>1600W bevel tool. Lock-on switch.</t>
  </si>
  <si>
    <t>900W Amps bevel / chamfer / radius tool. Lock-on switch.</t>
  </si>
  <si>
    <t>1500W Amps bevel tool. Lock-on switch.</t>
  </si>
  <si>
    <t>1500Watt bevel tool. Paddle switch. Mechanical Brake &lt; 2 sec.</t>
  </si>
  <si>
    <t>Maximum Capacity Chart (Imperial)</t>
  </si>
  <si>
    <t>Maximum Capacity Chart (Metric)</t>
  </si>
  <si>
    <t>Update September 30, 2016</t>
  </si>
  <si>
    <t>Version 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</si>
</sst>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0.00000"/>
    <numFmt numFmtId="165" formatCode="0.0&quot; deg&quot;"/>
    <numFmt numFmtId="166" formatCode="#\ ??/32"/>
    <numFmt numFmtId="167" formatCode="#\ ?/8"/>
    <numFmt numFmtId="168" formatCode="0.000"/>
    <numFmt numFmtId="169" formatCode="0.00&quot; mm&quot;"/>
    <numFmt numFmtId="170" formatCode="0.00&quot; in.&quot;"/>
    <numFmt numFmtId="171" formatCode="0.00&quot; sq.mm&quot;"/>
    <numFmt numFmtId="172" formatCode="0.0000&quot; in.&quot;"/>
    <numFmt numFmtId="173" formatCode="0.000&quot; sq.in.&quot;"/>
    <numFmt numFmtId="174" formatCode="0.0000&quot; sq.in.&quot;"/>
    <numFmt numFmtId="175" formatCode="0.00&quot; clics&quot;"/>
    <numFmt numFmtId="176" formatCode="0.000000"/>
    <numFmt numFmtId="177" formatCode="0.0"/>
    <numFmt numFmtId="178" formatCode="0.0&quot; mm&quot;"/>
    <numFmt numFmtId="179" formatCode="0&quot; mm&quot;"/>
  </numFmts>
  <fonts count="15" x14ac:knownFonts="1">
    <font>
      <sz val="11"/>
      <color theme="1"/>
      <name val="Times New Roman"/>
      <family val="2"/>
    </font>
    <font>
      <b/>
      <sz val="11"/>
      <color theme="1"/>
      <name val="Times New Roman"/>
      <family val="1"/>
    </font>
    <font>
      <b/>
      <sz val="11"/>
      <color rgb="FFC00000"/>
      <name val="Times New Roman"/>
      <family val="1"/>
    </font>
    <font>
      <b/>
      <sz val="11"/>
      <color theme="4"/>
      <name val="Times New Roman"/>
      <family val="1"/>
    </font>
    <font>
      <b/>
      <sz val="11"/>
      <color rgb="FFFFC000"/>
      <name val="Times New Roman"/>
      <family val="1"/>
    </font>
    <font>
      <b/>
      <u/>
      <sz val="11"/>
      <color theme="1"/>
      <name val="Times New Roman"/>
      <family val="1"/>
    </font>
    <font>
      <sz val="10"/>
      <color theme="1"/>
      <name val="Times New Roman"/>
      <family val="2"/>
    </font>
    <font>
      <sz val="11"/>
      <color theme="0"/>
      <name val="Times New Roman"/>
      <family val="2"/>
    </font>
    <font>
      <u/>
      <sz val="11"/>
      <color theme="10"/>
      <name val="Times New Roman"/>
      <family val="2"/>
    </font>
    <font>
      <b/>
      <sz val="14"/>
      <color rgb="FF224B44"/>
      <name val="Times New Roman"/>
      <family val="1"/>
    </font>
    <font>
      <b/>
      <sz val="36"/>
      <color rgb="FF224B44"/>
      <name val="Times New Roman"/>
      <family val="1"/>
    </font>
    <font>
      <sz val="11"/>
      <color rgb="FFFF0000"/>
      <name val="Times New Roman"/>
      <family val="2"/>
    </font>
    <font>
      <sz val="11"/>
      <name val="Times New Roman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04">
    <xf numFmtId="0" fontId="0" fillId="0" borderId="0" xfId="0"/>
    <xf numFmtId="0" fontId="0" fillId="0" borderId="0" xfId="0" applyProtection="1">
      <protection hidden="1"/>
    </xf>
    <xf numFmtId="0" fontId="0" fillId="0" borderId="10" xfId="0" applyBorder="1" applyProtection="1">
      <protection hidden="1"/>
    </xf>
    <xf numFmtId="0" fontId="0" fillId="0" borderId="11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0" fontId="3" fillId="0" borderId="13" xfId="0" applyFont="1" applyBorder="1" applyProtection="1">
      <protection hidden="1"/>
    </xf>
    <xf numFmtId="13" fontId="3" fillId="0" borderId="1" xfId="0" applyNumberFormat="1" applyFont="1" applyBorder="1" applyProtection="1">
      <protection hidden="1"/>
    </xf>
    <xf numFmtId="2" fontId="3" fillId="0" borderId="14" xfId="0" applyNumberFormat="1" applyFont="1" applyBorder="1" applyProtection="1">
      <protection hidden="1"/>
    </xf>
    <xf numFmtId="0" fontId="4" fillId="0" borderId="13" xfId="0" applyFont="1" applyBorder="1" applyProtection="1">
      <protection hidden="1"/>
    </xf>
    <xf numFmtId="167" fontId="4" fillId="0" borderId="1" xfId="0" applyNumberFormat="1" applyFont="1" applyBorder="1" applyProtection="1">
      <protection hidden="1"/>
    </xf>
    <xf numFmtId="2" fontId="4" fillId="0" borderId="14" xfId="0" applyNumberFormat="1" applyFont="1" applyBorder="1" applyProtection="1">
      <protection hidden="1"/>
    </xf>
    <xf numFmtId="0" fontId="2" fillId="0" borderId="15" xfId="0" applyFont="1" applyBorder="1" applyProtection="1">
      <protection hidden="1"/>
    </xf>
    <xf numFmtId="167" fontId="2" fillId="0" borderId="16" xfId="0" applyNumberFormat="1" applyFont="1" applyBorder="1" applyProtection="1">
      <protection hidden="1"/>
    </xf>
    <xf numFmtId="2" fontId="2" fillId="0" borderId="17" xfId="0" applyNumberFormat="1" applyFont="1" applyBorder="1" applyProtection="1">
      <protection hidden="1"/>
    </xf>
    <xf numFmtId="2" fontId="0" fillId="0" borderId="0" xfId="0" applyNumberFormat="1" applyProtection="1">
      <protection hidden="1"/>
    </xf>
    <xf numFmtId="164" fontId="0" fillId="0" borderId="0" xfId="0" applyNumberFormat="1" applyProtection="1">
      <protection hidden="1"/>
    </xf>
    <xf numFmtId="165" fontId="0" fillId="0" borderId="25" xfId="0" applyNumberFormat="1" applyBorder="1" applyProtection="1">
      <protection hidden="1"/>
    </xf>
    <xf numFmtId="13" fontId="0" fillId="0" borderId="10" xfId="0" applyNumberFormat="1" applyBorder="1" applyAlignment="1" applyProtection="1">
      <alignment horizontal="center"/>
      <protection hidden="1"/>
    </xf>
    <xf numFmtId="13" fontId="0" fillId="0" borderId="11" xfId="0" applyNumberFormat="1" applyBorder="1" applyAlignment="1" applyProtection="1">
      <alignment horizontal="center"/>
      <protection hidden="1"/>
    </xf>
    <xf numFmtId="13" fontId="0" fillId="0" borderId="12" xfId="0" applyNumberFormat="1" applyBorder="1" applyAlignment="1" applyProtection="1">
      <alignment horizontal="center"/>
      <protection hidden="1"/>
    </xf>
    <xf numFmtId="165" fontId="0" fillId="0" borderId="22" xfId="0" applyNumberFormat="1" applyBorder="1" applyProtection="1">
      <protection hidden="1"/>
    </xf>
    <xf numFmtId="13" fontId="0" fillId="0" borderId="13" xfId="0" applyNumberFormat="1" applyBorder="1" applyAlignment="1" applyProtection="1">
      <alignment horizontal="center"/>
      <protection hidden="1"/>
    </xf>
    <xf numFmtId="13" fontId="0" fillId="0" borderId="1" xfId="0" applyNumberFormat="1" applyBorder="1" applyAlignment="1" applyProtection="1">
      <alignment horizontal="center"/>
      <protection hidden="1"/>
    </xf>
    <xf numFmtId="13" fontId="0" fillId="0" borderId="14" xfId="0" applyNumberFormat="1" applyBorder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horizontal="right"/>
      <protection hidden="1"/>
    </xf>
    <xf numFmtId="165" fontId="0" fillId="0" borderId="23" xfId="0" applyNumberFormat="1" applyBorder="1" applyProtection="1">
      <protection hidden="1"/>
    </xf>
    <xf numFmtId="13" fontId="0" fillId="0" borderId="15" xfId="0" applyNumberFormat="1" applyBorder="1" applyAlignment="1" applyProtection="1">
      <alignment horizontal="center"/>
      <protection hidden="1"/>
    </xf>
    <xf numFmtId="13" fontId="0" fillId="0" borderId="16" xfId="0" applyNumberFormat="1" applyBorder="1" applyAlignment="1" applyProtection="1">
      <alignment horizontal="center"/>
      <protection hidden="1"/>
    </xf>
    <xf numFmtId="13" fontId="0" fillId="0" borderId="17" xfId="0" applyNumberFormat="1" applyBorder="1" applyAlignment="1" applyProtection="1">
      <alignment horizontal="center"/>
      <protection hidden="1"/>
    </xf>
    <xf numFmtId="0" fontId="0" fillId="0" borderId="0" xfId="0" applyAlignment="1" applyProtection="1">
      <alignment horizontal="right"/>
      <protection hidden="1"/>
    </xf>
    <xf numFmtId="0" fontId="5" fillId="0" borderId="0" xfId="0" applyFont="1" applyAlignment="1" applyProtection="1">
      <alignment horizontal="right"/>
      <protection hidden="1"/>
    </xf>
    <xf numFmtId="0" fontId="0" fillId="2" borderId="2" xfId="0" applyFill="1" applyBorder="1" applyProtection="1">
      <protection hidden="1"/>
    </xf>
    <xf numFmtId="0" fontId="5" fillId="2" borderId="3" xfId="0" applyFont="1" applyFill="1" applyBorder="1" applyProtection="1">
      <protection hidden="1"/>
    </xf>
    <xf numFmtId="166" fontId="0" fillId="2" borderId="3" xfId="0" applyNumberFormat="1" applyFill="1" applyBorder="1" applyProtection="1">
      <protection hidden="1"/>
    </xf>
    <xf numFmtId="0" fontId="0" fillId="2" borderId="3" xfId="0" applyFill="1" applyBorder="1" applyProtection="1">
      <protection hidden="1"/>
    </xf>
    <xf numFmtId="0" fontId="0" fillId="2" borderId="4" xfId="0" applyFill="1" applyBorder="1" applyProtection="1">
      <protection hidden="1"/>
    </xf>
    <xf numFmtId="13" fontId="0" fillId="0" borderId="0" xfId="0" applyNumberFormat="1" applyBorder="1" applyAlignment="1" applyProtection="1">
      <alignment horizontal="center"/>
      <protection hidden="1"/>
    </xf>
    <xf numFmtId="1" fontId="0" fillId="0" borderId="0" xfId="0" applyNumberFormat="1" applyProtection="1">
      <protection hidden="1"/>
    </xf>
    <xf numFmtId="0" fontId="0" fillId="2" borderId="5" xfId="0" applyFill="1" applyBorder="1" applyProtection="1">
      <protection hidden="1"/>
    </xf>
    <xf numFmtId="0" fontId="6" fillId="2" borderId="1" xfId="0" applyFont="1" applyFill="1" applyBorder="1" applyProtection="1">
      <protection hidden="1"/>
    </xf>
    <xf numFmtId="174" fontId="6" fillId="2" borderId="1" xfId="0" applyNumberFormat="1" applyFont="1" applyFill="1" applyBorder="1" applyProtection="1">
      <protection hidden="1"/>
    </xf>
    <xf numFmtId="173" fontId="6" fillId="2" borderId="1" xfId="0" applyNumberFormat="1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0" fillId="2" borderId="6" xfId="0" applyFill="1" applyBorder="1" applyProtection="1">
      <protection hidden="1"/>
    </xf>
    <xf numFmtId="168" fontId="0" fillId="0" borderId="0" xfId="0" applyNumberFormat="1" applyProtection="1">
      <protection hidden="1"/>
    </xf>
    <xf numFmtId="0" fontId="0" fillId="0" borderId="0" xfId="0" applyBorder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right" vertical="center"/>
      <protection hidden="1"/>
    </xf>
    <xf numFmtId="168" fontId="7" fillId="0" borderId="0" xfId="0" applyNumberFormat="1" applyFont="1" applyAlignment="1" applyProtection="1">
      <alignment horizontal="center"/>
      <protection hidden="1"/>
    </xf>
    <xf numFmtId="0" fontId="5" fillId="2" borderId="0" xfId="0" applyFont="1" applyFill="1" applyBorder="1" applyProtection="1">
      <protection hidden="1"/>
    </xf>
    <xf numFmtId="166" fontId="0" fillId="2" borderId="0" xfId="0" applyNumberFormat="1" applyFill="1" applyBorder="1" applyProtection="1">
      <protection hidden="1"/>
    </xf>
    <xf numFmtId="171" fontId="6" fillId="2" borderId="1" xfId="0" applyNumberFormat="1" applyFont="1" applyFill="1" applyBorder="1" applyProtection="1">
      <protection hidden="1"/>
    </xf>
    <xf numFmtId="0" fontId="0" fillId="2" borderId="7" xfId="0" applyFill="1" applyBorder="1" applyProtection="1">
      <protection hidden="1"/>
    </xf>
    <xf numFmtId="0" fontId="0" fillId="2" borderId="8" xfId="0" applyFill="1" applyBorder="1" applyProtection="1">
      <protection hidden="1"/>
    </xf>
    <xf numFmtId="0" fontId="0" fillId="2" borderId="9" xfId="0" applyFill="1" applyBorder="1" applyProtection="1">
      <protection hidden="1"/>
    </xf>
    <xf numFmtId="172" fontId="6" fillId="2" borderId="1" xfId="0" applyNumberFormat="1" applyFont="1" applyFill="1" applyBorder="1" applyProtection="1">
      <protection hidden="1"/>
    </xf>
    <xf numFmtId="170" fontId="6" fillId="2" borderId="1" xfId="0" applyNumberFormat="1" applyFont="1" applyFill="1" applyBorder="1" applyProtection="1">
      <protection hidden="1"/>
    </xf>
    <xf numFmtId="169" fontId="6" fillId="2" borderId="1" xfId="0" applyNumberFormat="1" applyFont="1" applyFill="1" applyBorder="1" applyProtection="1">
      <protection hidden="1"/>
    </xf>
    <xf numFmtId="0" fontId="7" fillId="0" borderId="0" xfId="0" applyFont="1" applyProtection="1">
      <protection hidden="1"/>
    </xf>
    <xf numFmtId="0" fontId="0" fillId="0" borderId="0" xfId="0" applyProtection="1"/>
    <xf numFmtId="13" fontId="0" fillId="0" borderId="15" xfId="0" applyNumberFormat="1" applyBorder="1" applyAlignment="1" applyProtection="1">
      <alignment horizontal="center"/>
    </xf>
    <xf numFmtId="13" fontId="0" fillId="0" borderId="16" xfId="0" applyNumberFormat="1" applyBorder="1" applyAlignment="1" applyProtection="1">
      <alignment horizontal="center"/>
    </xf>
    <xf numFmtId="13" fontId="0" fillId="0" borderId="17" xfId="0" applyNumberFormat="1" applyBorder="1" applyAlignment="1" applyProtection="1">
      <alignment horizontal="center"/>
    </xf>
    <xf numFmtId="165" fontId="0" fillId="0" borderId="12" xfId="0" applyNumberFormat="1" applyBorder="1" applyProtection="1"/>
    <xf numFmtId="13" fontId="0" fillId="7" borderId="29" xfId="0" applyNumberFormat="1" applyFill="1" applyBorder="1" applyAlignment="1" applyProtection="1">
      <alignment horizontal="center"/>
    </xf>
    <xf numFmtId="13" fontId="0" fillId="7" borderId="11" xfId="0" applyNumberFormat="1" applyFill="1" applyBorder="1" applyAlignment="1" applyProtection="1">
      <alignment horizontal="center"/>
    </xf>
    <xf numFmtId="13" fontId="0" fillId="7" borderId="12" xfId="0" applyNumberFormat="1" applyFill="1" applyBorder="1" applyAlignment="1" applyProtection="1">
      <alignment horizontal="center"/>
    </xf>
    <xf numFmtId="165" fontId="0" fillId="0" borderId="14" xfId="0" applyNumberFormat="1" applyBorder="1" applyProtection="1"/>
    <xf numFmtId="13" fontId="0" fillId="7" borderId="30" xfId="0" applyNumberFormat="1" applyFill="1" applyBorder="1" applyAlignment="1" applyProtection="1">
      <alignment horizontal="center"/>
    </xf>
    <xf numFmtId="13" fontId="0" fillId="7" borderId="1" xfId="0" applyNumberFormat="1" applyFill="1" applyBorder="1" applyAlignment="1" applyProtection="1">
      <alignment horizontal="center"/>
    </xf>
    <xf numFmtId="13" fontId="0" fillId="6" borderId="1" xfId="0" applyNumberFormat="1" applyFill="1" applyBorder="1" applyAlignment="1" applyProtection="1">
      <alignment horizontal="center"/>
    </xf>
    <xf numFmtId="13" fontId="0" fillId="6" borderId="14" xfId="0" applyNumberFormat="1" applyFill="1" applyBorder="1" applyAlignment="1" applyProtection="1">
      <alignment horizontal="center"/>
    </xf>
    <xf numFmtId="13" fontId="0" fillId="4" borderId="30" xfId="0" applyNumberFormat="1" applyFill="1" applyBorder="1" applyAlignment="1" applyProtection="1">
      <alignment horizontal="center"/>
    </xf>
    <xf numFmtId="13" fontId="0" fillId="4" borderId="1" xfId="0" applyNumberFormat="1" applyFill="1" applyBorder="1" applyAlignment="1" applyProtection="1">
      <alignment horizontal="center"/>
    </xf>
    <xf numFmtId="0" fontId="0" fillId="6" borderId="0" xfId="0" applyFill="1" applyProtection="1"/>
    <xf numFmtId="13" fontId="0" fillId="5" borderId="1" xfId="0" applyNumberFormat="1" applyFill="1" applyBorder="1" applyAlignment="1" applyProtection="1">
      <alignment horizontal="center"/>
    </xf>
    <xf numFmtId="13" fontId="0" fillId="5" borderId="14" xfId="0" applyNumberFormat="1" applyFill="1" applyBorder="1" applyAlignment="1" applyProtection="1">
      <alignment horizontal="center"/>
    </xf>
    <xf numFmtId="165" fontId="0" fillId="0" borderId="28" xfId="0" applyNumberFormat="1" applyBorder="1" applyProtection="1"/>
    <xf numFmtId="13" fontId="0" fillId="7" borderId="31" xfId="0" applyNumberFormat="1" applyFill="1" applyBorder="1" applyAlignment="1" applyProtection="1">
      <alignment horizontal="center"/>
    </xf>
    <xf numFmtId="13" fontId="0" fillId="7" borderId="27" xfId="0" applyNumberFormat="1" applyFill="1" applyBorder="1" applyAlignment="1" applyProtection="1">
      <alignment horizontal="center"/>
    </xf>
    <xf numFmtId="13" fontId="0" fillId="6" borderId="27" xfId="0" applyNumberFormat="1" applyFill="1" applyBorder="1" applyAlignment="1" applyProtection="1">
      <alignment horizontal="center"/>
    </xf>
    <xf numFmtId="13" fontId="0" fillId="5" borderId="27" xfId="0" applyNumberFormat="1" applyFill="1" applyBorder="1" applyAlignment="1" applyProtection="1">
      <alignment horizontal="center"/>
    </xf>
    <xf numFmtId="13" fontId="0" fillId="5" borderId="28" xfId="0" applyNumberFormat="1" applyFill="1" applyBorder="1" applyAlignment="1" applyProtection="1">
      <alignment horizontal="center"/>
    </xf>
    <xf numFmtId="165" fontId="0" fillId="0" borderId="17" xfId="0" applyNumberFormat="1" applyBorder="1" applyProtection="1"/>
    <xf numFmtId="13" fontId="0" fillId="7" borderId="32" xfId="0" applyNumberFormat="1" applyFill="1" applyBorder="1" applyAlignment="1" applyProtection="1">
      <alignment horizontal="center"/>
    </xf>
    <xf numFmtId="13" fontId="0" fillId="7" borderId="16" xfId="0" applyNumberFormat="1" applyFill="1" applyBorder="1" applyAlignment="1" applyProtection="1">
      <alignment horizontal="center"/>
    </xf>
    <xf numFmtId="13" fontId="0" fillId="6" borderId="16" xfId="0" applyNumberFormat="1" applyFill="1" applyBorder="1" applyAlignment="1" applyProtection="1">
      <alignment horizontal="center"/>
    </xf>
    <xf numFmtId="13" fontId="0" fillId="5" borderId="16" xfId="0" applyNumberFormat="1" applyFill="1" applyBorder="1" applyAlignment="1" applyProtection="1">
      <alignment horizontal="center"/>
    </xf>
    <xf numFmtId="13" fontId="0" fillId="5" borderId="17" xfId="0" applyNumberFormat="1" applyFill="1" applyBorder="1" applyAlignment="1" applyProtection="1">
      <alignment horizontal="center"/>
    </xf>
    <xf numFmtId="0" fontId="0" fillId="4" borderId="0" xfId="0" applyFill="1" applyProtection="1"/>
    <xf numFmtId="0" fontId="0" fillId="7" borderId="0" xfId="0" applyFill="1" applyProtection="1"/>
    <xf numFmtId="0" fontId="0" fillId="5" borderId="0" xfId="0" applyFill="1" applyProtection="1"/>
    <xf numFmtId="0" fontId="1" fillId="0" borderId="13" xfId="0" applyFont="1" applyBorder="1" applyAlignment="1" applyProtection="1">
      <alignment horizontal="left"/>
    </xf>
    <xf numFmtId="0" fontId="0" fillId="0" borderId="13" xfId="0" applyBorder="1" applyProtection="1"/>
    <xf numFmtId="0" fontId="0" fillId="0" borderId="15" xfId="0" applyBorder="1" applyProtection="1"/>
    <xf numFmtId="0" fontId="0" fillId="0" borderId="1" xfId="0" applyBorder="1" applyProtection="1"/>
    <xf numFmtId="0" fontId="0" fillId="0" borderId="14" xfId="0" applyBorder="1" applyProtection="1"/>
    <xf numFmtId="0" fontId="0" fillId="0" borderId="16" xfId="0" applyBorder="1" applyProtection="1"/>
    <xf numFmtId="0" fontId="0" fillId="0" borderId="17" xfId="0" applyBorder="1" applyProtection="1"/>
    <xf numFmtId="0" fontId="0" fillId="0" borderId="0" xfId="0" applyAlignment="1" applyProtection="1">
      <alignment vertical="center"/>
    </xf>
    <xf numFmtId="0" fontId="1" fillId="3" borderId="35" xfId="0" applyFont="1" applyFill="1" applyBorder="1" applyAlignment="1" applyProtection="1">
      <alignment horizontal="center"/>
      <protection locked="0"/>
    </xf>
    <xf numFmtId="165" fontId="1" fillId="3" borderId="36" xfId="0" applyNumberFormat="1" applyFont="1" applyFill="1" applyBorder="1" applyAlignment="1" applyProtection="1">
      <alignment horizontal="center"/>
      <protection locked="0"/>
    </xf>
    <xf numFmtId="13" fontId="1" fillId="3" borderId="36" xfId="0" applyNumberFormat="1" applyFont="1" applyFill="1" applyBorder="1" applyAlignment="1" applyProtection="1">
      <alignment horizontal="center"/>
      <protection locked="0"/>
    </xf>
    <xf numFmtId="13" fontId="1" fillId="3" borderId="37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Protection="1">
      <protection hidden="1"/>
    </xf>
    <xf numFmtId="168" fontId="11" fillId="0" borderId="0" xfId="0" applyNumberFormat="1" applyFont="1" applyBorder="1" applyAlignment="1" applyProtection="1">
      <alignment horizontal="center"/>
      <protection hidden="1"/>
    </xf>
    <xf numFmtId="168" fontId="11" fillId="0" borderId="0" xfId="0" applyNumberFormat="1" applyFont="1" applyProtection="1">
      <protection hidden="1"/>
    </xf>
    <xf numFmtId="13" fontId="11" fillId="0" borderId="0" xfId="0" applyNumberFormat="1" applyFont="1" applyAlignment="1" applyProtection="1">
      <alignment horizontal="center"/>
      <protection hidden="1"/>
    </xf>
    <xf numFmtId="0" fontId="11" fillId="0" borderId="0" xfId="0" applyNumberFormat="1" applyFont="1" applyAlignment="1" applyProtection="1">
      <alignment horizont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13" fontId="11" fillId="0" borderId="0" xfId="0" applyNumberFormat="1" applyFont="1" applyBorder="1" applyAlignment="1" applyProtection="1">
      <alignment horizontal="center"/>
      <protection hidden="1"/>
    </xf>
    <xf numFmtId="175" fontId="6" fillId="2" borderId="1" xfId="0" applyNumberFormat="1" applyFont="1" applyFill="1" applyBorder="1" applyProtection="1">
      <protection hidden="1"/>
    </xf>
    <xf numFmtId="0" fontId="12" fillId="0" borderId="0" xfId="0" applyFont="1" applyAlignment="1" applyProtection="1">
      <alignment horizontal="right" vertical="center"/>
      <protection hidden="1"/>
    </xf>
    <xf numFmtId="172" fontId="0" fillId="0" borderId="0" xfId="0" applyNumberFormat="1" applyFont="1" applyFill="1" applyBorder="1" applyAlignment="1" applyProtection="1">
      <alignment horizontal="center"/>
      <protection hidden="1"/>
    </xf>
    <xf numFmtId="0" fontId="6" fillId="2" borderId="13" xfId="0" applyFont="1" applyFill="1" applyBorder="1" applyProtection="1">
      <protection hidden="1"/>
    </xf>
    <xf numFmtId="0" fontId="6" fillId="2" borderId="15" xfId="0" applyFont="1" applyFill="1" applyBorder="1" applyProtection="1">
      <protection hidden="1"/>
    </xf>
    <xf numFmtId="0" fontId="0" fillId="0" borderId="38" xfId="0" applyBorder="1" applyProtection="1"/>
    <xf numFmtId="0" fontId="13" fillId="2" borderId="1" xfId="0" applyFont="1" applyFill="1" applyBorder="1" applyAlignment="1" applyProtection="1">
      <alignment horizontal="center" wrapText="1"/>
      <protection hidden="1"/>
    </xf>
    <xf numFmtId="13" fontId="6" fillId="2" borderId="1" xfId="0" applyNumberFormat="1" applyFont="1" applyFill="1" applyBorder="1" applyProtection="1">
      <protection hidden="1"/>
    </xf>
    <xf numFmtId="0" fontId="13" fillId="2" borderId="13" xfId="0" applyFont="1" applyFill="1" applyBorder="1" applyAlignment="1" applyProtection="1">
      <alignment horizontal="center" wrapText="1"/>
      <protection hidden="1"/>
    </xf>
    <xf numFmtId="13" fontId="6" fillId="2" borderId="16" xfId="0" applyNumberFormat="1" applyFont="1" applyFill="1" applyBorder="1" applyProtection="1">
      <protection hidden="1"/>
    </xf>
    <xf numFmtId="0" fontId="13" fillId="2" borderId="14" xfId="0" applyFont="1" applyFill="1" applyBorder="1" applyAlignment="1" applyProtection="1">
      <alignment horizontal="center" wrapText="1"/>
      <protection hidden="1"/>
    </xf>
    <xf numFmtId="2" fontId="14" fillId="2" borderId="14" xfId="0" applyNumberFormat="1" applyFont="1" applyFill="1" applyBorder="1" applyAlignment="1" applyProtection="1">
      <alignment horizontal="center" wrapText="1"/>
      <protection hidden="1"/>
    </xf>
    <xf numFmtId="2" fontId="14" fillId="2" borderId="17" xfId="0" applyNumberFormat="1" applyFont="1" applyFill="1" applyBorder="1" applyAlignment="1" applyProtection="1">
      <alignment horizontal="center" wrapText="1"/>
      <protection hidden="1"/>
    </xf>
    <xf numFmtId="0" fontId="5" fillId="0" borderId="0" xfId="0" applyFont="1" applyProtection="1"/>
    <xf numFmtId="176" fontId="0" fillId="0" borderId="0" xfId="0" applyNumberFormat="1" applyBorder="1" applyAlignment="1" applyProtection="1">
      <alignment horizontal="center"/>
      <protection hidden="1"/>
    </xf>
    <xf numFmtId="176" fontId="0" fillId="0" borderId="0" xfId="0" applyNumberFormat="1" applyFont="1" applyFill="1" applyBorder="1" applyAlignment="1" applyProtection="1">
      <alignment horizontal="center"/>
      <protection hidden="1"/>
    </xf>
    <xf numFmtId="177" fontId="3" fillId="0" borderId="1" xfId="0" applyNumberFormat="1" applyFont="1" applyBorder="1" applyProtection="1">
      <protection hidden="1"/>
    </xf>
    <xf numFmtId="177" fontId="4" fillId="0" borderId="1" xfId="0" applyNumberFormat="1" applyFont="1" applyBorder="1" applyProtection="1">
      <protection hidden="1"/>
    </xf>
    <xf numFmtId="177" fontId="2" fillId="0" borderId="16" xfId="0" applyNumberFormat="1" applyFont="1" applyBorder="1" applyProtection="1">
      <protection hidden="1"/>
    </xf>
    <xf numFmtId="177" fontId="3" fillId="0" borderId="14" xfId="0" applyNumberFormat="1" applyFont="1" applyBorder="1" applyProtection="1">
      <protection hidden="1"/>
    </xf>
    <xf numFmtId="177" fontId="4" fillId="0" borderId="14" xfId="0" applyNumberFormat="1" applyFont="1" applyBorder="1" applyProtection="1">
      <protection hidden="1"/>
    </xf>
    <xf numFmtId="177" fontId="2" fillId="0" borderId="17" xfId="0" applyNumberFormat="1" applyFont="1" applyBorder="1" applyProtection="1">
      <protection hidden="1"/>
    </xf>
    <xf numFmtId="177" fontId="0" fillId="0" borderId="13" xfId="0" applyNumberFormat="1" applyBorder="1" applyAlignment="1" applyProtection="1">
      <alignment horizontal="center"/>
      <protection hidden="1"/>
    </xf>
    <xf numFmtId="177" fontId="0" fillId="0" borderId="1" xfId="0" applyNumberFormat="1" applyBorder="1" applyAlignment="1" applyProtection="1">
      <alignment horizontal="center"/>
      <protection hidden="1"/>
    </xf>
    <xf numFmtId="177" fontId="0" fillId="0" borderId="14" xfId="0" applyNumberFormat="1" applyBorder="1" applyAlignment="1" applyProtection="1">
      <alignment horizontal="center"/>
      <protection hidden="1"/>
    </xf>
    <xf numFmtId="177" fontId="0" fillId="0" borderId="15" xfId="0" applyNumberFormat="1" applyBorder="1" applyAlignment="1" applyProtection="1">
      <alignment horizontal="center"/>
      <protection hidden="1"/>
    </xf>
    <xf numFmtId="177" fontId="0" fillId="0" borderId="16" xfId="0" applyNumberFormat="1" applyBorder="1" applyAlignment="1" applyProtection="1">
      <alignment horizontal="center"/>
      <protection hidden="1"/>
    </xf>
    <xf numFmtId="177" fontId="0" fillId="0" borderId="17" xfId="0" applyNumberFormat="1" applyBorder="1" applyAlignment="1" applyProtection="1">
      <alignment horizontal="center"/>
      <protection hidden="1"/>
    </xf>
    <xf numFmtId="177" fontId="0" fillId="0" borderId="39" xfId="0" applyNumberFormat="1" applyBorder="1" applyAlignment="1" applyProtection="1">
      <alignment horizontal="center"/>
      <protection hidden="1"/>
    </xf>
    <xf numFmtId="177" fontId="0" fillId="0" borderId="40" xfId="0" applyNumberFormat="1" applyBorder="1" applyAlignment="1" applyProtection="1">
      <alignment horizontal="center"/>
      <protection hidden="1"/>
    </xf>
    <xf numFmtId="177" fontId="0" fillId="0" borderId="41" xfId="0" applyNumberFormat="1" applyBorder="1" applyAlignment="1" applyProtection="1">
      <alignment horizontal="center"/>
      <protection hidden="1"/>
    </xf>
    <xf numFmtId="169" fontId="0" fillId="0" borderId="0" xfId="0" applyNumberFormat="1" applyFont="1" applyFill="1" applyBorder="1" applyAlignment="1" applyProtection="1">
      <alignment horizontal="center"/>
      <protection hidden="1"/>
    </xf>
    <xf numFmtId="178" fontId="0" fillId="0" borderId="0" xfId="0" applyNumberFormat="1" applyBorder="1" applyAlignment="1" applyProtection="1">
      <alignment horizontal="center"/>
      <protection hidden="1"/>
    </xf>
    <xf numFmtId="165" fontId="0" fillId="0" borderId="25" xfId="0" applyNumberFormat="1" applyBorder="1" applyProtection="1"/>
    <xf numFmtId="165" fontId="0" fillId="0" borderId="22" xfId="0" applyNumberFormat="1" applyBorder="1" applyProtection="1"/>
    <xf numFmtId="165" fontId="0" fillId="0" borderId="23" xfId="0" applyNumberFormat="1" applyBorder="1" applyProtection="1"/>
    <xf numFmtId="0" fontId="0" fillId="6" borderId="1" xfId="0" applyFill="1" applyBorder="1" applyProtection="1"/>
    <xf numFmtId="13" fontId="0" fillId="7" borderId="13" xfId="0" applyNumberFormat="1" applyFill="1" applyBorder="1" applyAlignment="1" applyProtection="1">
      <alignment horizontal="center"/>
    </xf>
    <xf numFmtId="13" fontId="0" fillId="4" borderId="13" xfId="0" applyNumberFormat="1" applyFill="1" applyBorder="1" applyAlignment="1" applyProtection="1">
      <alignment horizontal="center"/>
    </xf>
    <xf numFmtId="13" fontId="0" fillId="7" borderId="15" xfId="0" applyNumberFormat="1" applyFill="1" applyBorder="1" applyAlignment="1" applyProtection="1">
      <alignment horizontal="center"/>
    </xf>
    <xf numFmtId="13" fontId="0" fillId="7" borderId="10" xfId="0" applyNumberFormat="1" applyFill="1" applyBorder="1" applyAlignment="1" applyProtection="1">
      <alignment horizontal="center"/>
    </xf>
    <xf numFmtId="0" fontId="0" fillId="7" borderId="1" xfId="0" applyFill="1" applyBorder="1" applyProtection="1"/>
    <xf numFmtId="0" fontId="0" fillId="7" borderId="11" xfId="0" applyFill="1" applyBorder="1" applyProtection="1"/>
    <xf numFmtId="0" fontId="0" fillId="7" borderId="12" xfId="0" applyFill="1" applyBorder="1" applyProtection="1"/>
    <xf numFmtId="0" fontId="0" fillId="5" borderId="16" xfId="0" applyFill="1" applyBorder="1" applyProtection="1"/>
    <xf numFmtId="0" fontId="0" fillId="5" borderId="17" xfId="0" applyFill="1" applyBorder="1" applyProtection="1"/>
    <xf numFmtId="0" fontId="0" fillId="5" borderId="1" xfId="0" applyFill="1" applyBorder="1" applyProtection="1"/>
    <xf numFmtId="0" fontId="0" fillId="5" borderId="14" xfId="0" applyFill="1" applyBorder="1" applyProtection="1"/>
    <xf numFmtId="0" fontId="0" fillId="6" borderId="14" xfId="0" applyFill="1" applyBorder="1" applyProtection="1"/>
    <xf numFmtId="178" fontId="0" fillId="0" borderId="0" xfId="0" applyNumberFormat="1" applyFont="1" applyFill="1" applyBorder="1" applyAlignment="1" applyProtection="1">
      <alignment horizontal="center"/>
      <protection hidden="1"/>
    </xf>
    <xf numFmtId="179" fontId="1" fillId="3" borderId="36" xfId="0" applyNumberFormat="1" applyFont="1" applyFill="1" applyBorder="1" applyAlignment="1" applyProtection="1">
      <alignment horizontal="center"/>
      <protection locked="0"/>
    </xf>
    <xf numFmtId="0" fontId="8" fillId="0" borderId="16" xfId="1" applyBorder="1" applyAlignment="1" applyProtection="1">
      <alignment horizontal="left"/>
    </xf>
    <xf numFmtId="0" fontId="1" fillId="0" borderId="1" xfId="0" applyFont="1" applyBorder="1" applyAlignment="1" applyProtection="1">
      <alignment horizontal="left"/>
    </xf>
    <xf numFmtId="0" fontId="8" fillId="0" borderId="1" xfId="1" applyBorder="1" applyAlignment="1" applyProtection="1">
      <alignment horizontal="left"/>
    </xf>
    <xf numFmtId="0" fontId="0" fillId="0" borderId="1" xfId="0" applyBorder="1" applyAlignment="1" applyProtection="1">
      <alignment horizontal="left"/>
    </xf>
    <xf numFmtId="0" fontId="0" fillId="0" borderId="14" xfId="0" applyBorder="1" applyAlignment="1" applyProtection="1">
      <alignment horizontal="left"/>
    </xf>
    <xf numFmtId="0" fontId="0" fillId="0" borderId="16" xfId="0" applyBorder="1" applyAlignment="1" applyProtection="1">
      <alignment horizontal="left"/>
    </xf>
    <xf numFmtId="0" fontId="0" fillId="0" borderId="17" xfId="0" applyBorder="1" applyAlignment="1" applyProtection="1">
      <alignment horizontal="left"/>
    </xf>
    <xf numFmtId="0" fontId="8" fillId="0" borderId="0" xfId="1" applyFill="1"/>
    <xf numFmtId="0" fontId="9" fillId="0" borderId="10" xfId="0" applyFont="1" applyBorder="1" applyAlignment="1" applyProtection="1">
      <alignment horizontal="left"/>
    </xf>
    <xf numFmtId="0" fontId="9" fillId="0" borderId="11" xfId="0" applyFont="1" applyBorder="1" applyAlignment="1" applyProtection="1">
      <alignment horizontal="left"/>
    </xf>
    <xf numFmtId="0" fontId="1" fillId="0" borderId="22" xfId="0" applyFont="1" applyBorder="1" applyAlignment="1" applyProtection="1">
      <alignment horizontal="left"/>
    </xf>
    <xf numFmtId="0" fontId="1" fillId="0" borderId="34" xfId="0" applyFont="1" applyBorder="1" applyAlignment="1" applyProtection="1">
      <alignment horizontal="left"/>
    </xf>
    <xf numFmtId="0" fontId="0" fillId="0" borderId="0" xfId="0" applyBorder="1" applyAlignment="1" applyProtection="1">
      <alignment horizontal="center" vertical="center" wrapText="1"/>
    </xf>
    <xf numFmtId="0" fontId="0" fillId="0" borderId="24" xfId="0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" xfId="0" applyBorder="1" applyAlignment="1" applyProtection="1">
      <alignment horizontal="center" vertical="center" textRotation="90"/>
    </xf>
    <xf numFmtId="0" fontId="0" fillId="0" borderId="5" xfId="0" applyBorder="1" applyAlignment="1" applyProtection="1">
      <alignment horizontal="center" vertical="center" textRotation="90"/>
    </xf>
    <xf numFmtId="0" fontId="0" fillId="0" borderId="7" xfId="0" applyBorder="1" applyAlignment="1" applyProtection="1">
      <alignment horizontal="center" vertical="center" textRotation="90"/>
    </xf>
    <xf numFmtId="0" fontId="10" fillId="0" borderId="0" xfId="0" applyFont="1" applyBorder="1" applyAlignment="1" applyProtection="1">
      <alignment horizontal="center"/>
    </xf>
    <xf numFmtId="0" fontId="10" fillId="0" borderId="8" xfId="0" applyFont="1" applyBorder="1" applyAlignment="1" applyProtection="1">
      <alignment horizontal="center"/>
    </xf>
    <xf numFmtId="0" fontId="9" fillId="0" borderId="12" xfId="0" applyFont="1" applyBorder="1" applyAlignment="1" applyProtection="1">
      <alignment horizontal="left"/>
    </xf>
    <xf numFmtId="0" fontId="1" fillId="0" borderId="33" xfId="0" applyFont="1" applyBorder="1" applyAlignment="1" applyProtection="1">
      <alignment horizontal="left"/>
    </xf>
    <xf numFmtId="0" fontId="0" fillId="0" borderId="2" xfId="0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 vertical="center" wrapText="1"/>
      <protection hidden="1"/>
    </xf>
    <xf numFmtId="0" fontId="0" fillId="0" borderId="7" xfId="0" applyBorder="1" applyAlignment="1" applyProtection="1">
      <alignment horizontal="center" vertical="center" wrapText="1"/>
      <protection hidden="1"/>
    </xf>
    <xf numFmtId="0" fontId="0" fillId="0" borderId="9" xfId="0" applyBorder="1" applyAlignment="1" applyProtection="1">
      <alignment horizontal="center" vertical="center" wrapText="1"/>
      <protection hidden="1"/>
    </xf>
    <xf numFmtId="0" fontId="0" fillId="0" borderId="24" xfId="0" applyBorder="1" applyAlignment="1" applyProtection="1">
      <alignment horizontal="center"/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hidden="1"/>
    </xf>
    <xf numFmtId="0" fontId="0" fillId="0" borderId="26" xfId="0" applyBorder="1" applyAlignment="1" applyProtection="1">
      <alignment horizontal="center" vertical="center" textRotation="90"/>
      <protection hidden="1"/>
    </xf>
    <xf numFmtId="0" fontId="0" fillId="0" borderId="20" xfId="0" applyBorder="1" applyAlignment="1" applyProtection="1">
      <alignment horizontal="center" vertical="center" textRotation="90"/>
      <protection hidden="1"/>
    </xf>
    <xf numFmtId="0" fontId="0" fillId="0" borderId="21" xfId="0" applyBorder="1" applyAlignment="1" applyProtection="1">
      <alignment horizontal="center" vertical="center" textRotation="90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13" fillId="2" borderId="10" xfId="0" applyFont="1" applyFill="1" applyBorder="1" applyAlignment="1" applyProtection="1">
      <alignment horizontal="center" wrapText="1"/>
      <protection hidden="1"/>
    </xf>
    <xf numFmtId="0" fontId="13" fillId="2" borderId="11" xfId="0" applyFont="1" applyFill="1" applyBorder="1" applyAlignment="1" applyProtection="1">
      <alignment horizontal="center" wrapText="1"/>
      <protection hidden="1"/>
    </xf>
    <xf numFmtId="0" fontId="13" fillId="2" borderId="12" xfId="0" applyFont="1" applyFill="1" applyBorder="1" applyAlignment="1" applyProtection="1">
      <alignment horizontal="center" wrapText="1"/>
      <protection hidden="1"/>
    </xf>
    <xf numFmtId="0" fontId="0" fillId="0" borderId="26" xfId="0" applyBorder="1" applyAlignment="1" applyProtection="1">
      <alignment horizontal="center" vertical="center" textRotation="90"/>
    </xf>
    <xf numFmtId="0" fontId="0" fillId="0" borderId="20" xfId="0" applyBorder="1" applyAlignment="1" applyProtection="1">
      <alignment horizontal="center" vertical="center" textRotation="90"/>
    </xf>
    <xf numFmtId="0" fontId="0" fillId="0" borderId="21" xfId="0" applyBorder="1" applyAlignment="1" applyProtection="1">
      <alignment horizontal="center" vertical="center" textRotation="90"/>
    </xf>
  </cellXfs>
  <cellStyles count="2">
    <cellStyle name="Hyperlink" xfId="1" builtinId="8"/>
    <cellStyle name="Normal" xfId="0" builtinId="0"/>
  </cellStyles>
  <dxfs count="5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4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FFC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4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FFC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4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FFC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FFC000"/>
      </font>
    </dxf>
    <dxf>
      <font>
        <b/>
        <i val="0"/>
        <color theme="4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FFC000"/>
      </font>
    </dxf>
  </dxfs>
  <tableStyles count="0" defaultTableStyle="TableStyleMedium2" defaultPivotStyle="PivotStyleLight16"/>
  <colors>
    <mruColors>
      <color rgb="FF224B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youtube.com/watch?v=-5QobGbTRgk&amp;list=PL9C2114473EDA867D&amp;index=1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-5QobGbTRgk&amp;list=PL9C2114473EDA867D&amp;index=10" TargetMode="External"/><Relationship Id="rId2" Type="http://schemas.openxmlformats.org/officeDocument/2006/relationships/hyperlink" Target="https://www.metabo.com/com/en/info/news/highlights/bevelling-tools/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11</xdr:row>
      <xdr:rowOff>39678</xdr:rowOff>
    </xdr:from>
    <xdr:to>
      <xdr:col>2</xdr:col>
      <xdr:colOff>1876425</xdr:colOff>
      <xdr:row>21</xdr:row>
      <xdr:rowOff>152400</xdr:rowOff>
    </xdr:to>
    <xdr:pic>
      <xdr:nvPicPr>
        <xdr:cNvPr id="2" name="Grafik 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92" t="20442" r="60417" b="36280"/>
        <a:stretch/>
      </xdr:blipFill>
      <xdr:spPr bwMode="auto">
        <a:xfrm>
          <a:off x="628650" y="2544753"/>
          <a:ext cx="2105025" cy="2074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428625</xdr:colOff>
      <xdr:row>34</xdr:row>
      <xdr:rowOff>66675</xdr:rowOff>
    </xdr:from>
    <xdr:to>
      <xdr:col>7</xdr:col>
      <xdr:colOff>19050</xdr:colOff>
      <xdr:row>38</xdr:row>
      <xdr:rowOff>95250</xdr:rowOff>
    </xdr:to>
    <xdr:sp macro="" textlink="">
      <xdr:nvSpPr>
        <xdr:cNvPr id="3" name="Arrow: 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905250" y="6896100"/>
          <a:ext cx="1733550" cy="790575"/>
        </a:xfrm>
        <a:prstGeom prst="upArrow">
          <a:avLst/>
        </a:prstGeom>
        <a:gradFill flip="none" rotWithShape="1">
          <a:gsLst>
            <a:gs pos="0">
              <a:srgbClr val="224B44">
                <a:shade val="30000"/>
                <a:satMod val="115000"/>
              </a:srgbClr>
            </a:gs>
            <a:gs pos="50000">
              <a:srgbClr val="224B44">
                <a:shade val="67500"/>
                <a:satMod val="115000"/>
              </a:srgbClr>
            </a:gs>
            <a:gs pos="100000">
              <a:srgbClr val="224B44">
                <a:shade val="100000"/>
                <a:satMod val="115000"/>
              </a:srgbClr>
            </a:gs>
          </a:gsLst>
          <a:lin ang="162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Clic</a:t>
          </a:r>
          <a:r>
            <a:rPr lang="en-US" sz="1200" b="1" baseline="0"/>
            <a:t> for more info</a:t>
          </a:r>
          <a:endParaRPr lang="en-US" sz="1200" b="1"/>
        </a:p>
      </xdr:txBody>
    </xdr:sp>
    <xdr:clientData/>
  </xdr:twoCellAnchor>
  <xdr:twoCellAnchor editAs="oneCell">
    <xdr:from>
      <xdr:col>0</xdr:col>
      <xdr:colOff>607584</xdr:colOff>
      <xdr:row>41</xdr:row>
      <xdr:rowOff>47625</xdr:rowOff>
    </xdr:from>
    <xdr:to>
      <xdr:col>6</xdr:col>
      <xdr:colOff>552450</xdr:colOff>
      <xdr:row>55</xdr:row>
      <xdr:rowOff>115979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7584" y="8401050"/>
          <a:ext cx="4850241" cy="2735354"/>
        </a:xfrm>
        <a:prstGeom prst="rect">
          <a:avLst/>
        </a:prstGeom>
      </xdr:spPr>
    </xdr:pic>
    <xdr:clientData/>
  </xdr:twoCellAnchor>
  <xdr:twoCellAnchor>
    <xdr:from>
      <xdr:col>8</xdr:col>
      <xdr:colOff>9525</xdr:colOff>
      <xdr:row>41</xdr:row>
      <xdr:rowOff>19050</xdr:rowOff>
    </xdr:from>
    <xdr:to>
      <xdr:col>14</xdr:col>
      <xdr:colOff>390525</xdr:colOff>
      <xdr:row>55</xdr:row>
      <xdr:rowOff>47625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343650" y="8372475"/>
          <a:ext cx="4667250" cy="2695575"/>
        </a:xfrm>
        <a:prstGeom prst="rect">
          <a:avLst/>
        </a:prstGeom>
        <a:solidFill>
          <a:srgbClr val="224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400" b="1"/>
            <a:t>Coming Soon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38098</xdr:colOff>
      <xdr:row>0</xdr:row>
      <xdr:rowOff>85726</xdr:rowOff>
    </xdr:from>
    <xdr:to>
      <xdr:col>2</xdr:col>
      <xdr:colOff>1023822</xdr:colOff>
      <xdr:row>12</xdr:row>
      <xdr:rowOff>109746</xdr:rowOff>
    </xdr:to>
    <xdr:pic>
      <xdr:nvPicPr>
        <xdr:cNvPr id="2" name="Grafik 7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92" t="20442" r="60417" b="36280"/>
        <a:stretch/>
      </xdr:blipFill>
      <xdr:spPr bwMode="auto">
        <a:xfrm>
          <a:off x="123823" y="85726"/>
          <a:ext cx="2376374" cy="234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173935</xdr:colOff>
      <xdr:row>1</xdr:row>
      <xdr:rowOff>107674</xdr:rowOff>
    </xdr:from>
    <xdr:to>
      <xdr:col>1</xdr:col>
      <xdr:colOff>1093304</xdr:colOff>
      <xdr:row>4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59660" y="307699"/>
          <a:ext cx="919369" cy="463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KFM 15 or</a:t>
          </a:r>
        </a:p>
        <a:p>
          <a:r>
            <a:rPr lang="en-US" sz="1100"/>
            <a:t>KFM 16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11</xdr:row>
      <xdr:rowOff>58728</xdr:rowOff>
    </xdr:from>
    <xdr:to>
      <xdr:col>2</xdr:col>
      <xdr:colOff>1866900</xdr:colOff>
      <xdr:row>21</xdr:row>
      <xdr:rowOff>171450</xdr:rowOff>
    </xdr:to>
    <xdr:pic>
      <xdr:nvPicPr>
        <xdr:cNvPr id="2" name="Grafik 7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92" t="20442" r="60417" b="36280"/>
        <a:stretch/>
      </xdr:blipFill>
      <xdr:spPr bwMode="auto">
        <a:xfrm>
          <a:off x="619125" y="2554278"/>
          <a:ext cx="2105025" cy="2074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428625</xdr:colOff>
      <xdr:row>33</xdr:row>
      <xdr:rowOff>66675</xdr:rowOff>
    </xdr:from>
    <xdr:to>
      <xdr:col>7</xdr:col>
      <xdr:colOff>19050</xdr:colOff>
      <xdr:row>37</xdr:row>
      <xdr:rowOff>95250</xdr:rowOff>
    </xdr:to>
    <xdr:sp macro="" textlink="">
      <xdr:nvSpPr>
        <xdr:cNvPr id="3" name="Arrow: 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905250" y="7086600"/>
          <a:ext cx="1733550" cy="790575"/>
        </a:xfrm>
        <a:prstGeom prst="upArrow">
          <a:avLst/>
        </a:prstGeom>
        <a:gradFill flip="none" rotWithShape="1">
          <a:gsLst>
            <a:gs pos="0">
              <a:srgbClr val="224B44">
                <a:shade val="30000"/>
                <a:satMod val="115000"/>
              </a:srgbClr>
            </a:gs>
            <a:gs pos="50000">
              <a:srgbClr val="224B44">
                <a:shade val="67500"/>
                <a:satMod val="115000"/>
              </a:srgbClr>
            </a:gs>
            <a:gs pos="100000">
              <a:srgbClr val="224B44">
                <a:shade val="100000"/>
                <a:satMod val="115000"/>
              </a:srgbClr>
            </a:gs>
          </a:gsLst>
          <a:lin ang="162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Clic</a:t>
          </a:r>
          <a:r>
            <a:rPr lang="en-US" sz="1200" b="1" baseline="0"/>
            <a:t> for more info</a:t>
          </a:r>
          <a:endParaRPr lang="en-US" sz="1200" b="1"/>
        </a:p>
      </xdr:txBody>
    </xdr:sp>
    <xdr:clientData/>
  </xdr:twoCellAnchor>
  <xdr:twoCellAnchor editAs="oneCell">
    <xdr:from>
      <xdr:col>0</xdr:col>
      <xdr:colOff>607584</xdr:colOff>
      <xdr:row>40</xdr:row>
      <xdr:rowOff>47625</xdr:rowOff>
    </xdr:from>
    <xdr:to>
      <xdr:col>6</xdr:col>
      <xdr:colOff>552450</xdr:colOff>
      <xdr:row>54</xdr:row>
      <xdr:rowOff>115979</xdr:rowOff>
    </xdr:to>
    <xdr:pic>
      <xdr:nvPicPr>
        <xdr:cNvPr id="4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7584" y="8401050"/>
          <a:ext cx="4850241" cy="2735354"/>
        </a:xfrm>
        <a:prstGeom prst="rect">
          <a:avLst/>
        </a:prstGeom>
      </xdr:spPr>
    </xdr:pic>
    <xdr:clientData/>
  </xdr:twoCellAnchor>
  <xdr:twoCellAnchor>
    <xdr:from>
      <xdr:col>8</xdr:col>
      <xdr:colOff>9525</xdr:colOff>
      <xdr:row>40</xdr:row>
      <xdr:rowOff>19050</xdr:rowOff>
    </xdr:from>
    <xdr:to>
      <xdr:col>14</xdr:col>
      <xdr:colOff>390525</xdr:colOff>
      <xdr:row>54</xdr:row>
      <xdr:rowOff>47625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6343650" y="8372475"/>
          <a:ext cx="4667250" cy="2695575"/>
        </a:xfrm>
        <a:prstGeom prst="rect">
          <a:avLst/>
        </a:prstGeom>
        <a:solidFill>
          <a:srgbClr val="224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400" b="1"/>
            <a:t>Coming Soon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38098</xdr:colOff>
      <xdr:row>0</xdr:row>
      <xdr:rowOff>85726</xdr:rowOff>
    </xdr:from>
    <xdr:to>
      <xdr:col>2</xdr:col>
      <xdr:colOff>1023822</xdr:colOff>
      <xdr:row>12</xdr:row>
      <xdr:rowOff>109746</xdr:rowOff>
    </xdr:to>
    <xdr:pic>
      <xdr:nvPicPr>
        <xdr:cNvPr id="2" name="Grafik 7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92" t="20442" r="60417" b="36280"/>
        <a:stretch/>
      </xdr:blipFill>
      <xdr:spPr bwMode="auto">
        <a:xfrm>
          <a:off x="123823" y="85726"/>
          <a:ext cx="2376374" cy="234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173935</xdr:colOff>
      <xdr:row>1</xdr:row>
      <xdr:rowOff>107674</xdr:rowOff>
    </xdr:from>
    <xdr:to>
      <xdr:col>1</xdr:col>
      <xdr:colOff>1093304</xdr:colOff>
      <xdr:row>4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259660" y="307699"/>
          <a:ext cx="919369" cy="463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KFM 15 or</a:t>
          </a:r>
        </a:p>
        <a:p>
          <a:r>
            <a:rPr lang="en-US" sz="1100"/>
            <a:t>KFM 16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etabo.com/us/enus/tools/cutting-sanding-milling/metal-processing/bevelling-tools/kfm-16-15-f-601753620-bevelling-tool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metabo.com/us/enus/accessories/other-accessories/bevelling-tool-accessories/10-carbide-inserts-r3-623562000.html" TargetMode="External"/><Relationship Id="rId7" Type="http://schemas.openxmlformats.org/officeDocument/2006/relationships/hyperlink" Target="https://www.metabo.com/us/enus/tools/cutting-sanding-milling/metal-processing/bevelling-tools/kfm-9-3-rf-601751750-bevelling-tool.html" TargetMode="External"/><Relationship Id="rId12" Type="http://schemas.openxmlformats.org/officeDocument/2006/relationships/hyperlink" Target="https://www.metabo.com/us/index.php?cl=search&amp;searchparam=623565000" TargetMode="External"/><Relationship Id="rId2" Type="http://schemas.openxmlformats.org/officeDocument/2006/relationships/hyperlink" Target="https://www.metabo.com/us/index.php?cl=search&amp;searchparam=623561000" TargetMode="External"/><Relationship Id="rId1" Type="http://schemas.openxmlformats.org/officeDocument/2006/relationships/hyperlink" Target="https://www.metabo.com/us/index.php?cl=search&amp;searchparam=623560000" TargetMode="External"/><Relationship Id="rId6" Type="http://schemas.openxmlformats.org/officeDocument/2006/relationships/hyperlink" Target="https://www.metabo.com/us/enus/tools/cutting-sanding-milling/metal-processing/bevelling-tools/kfmpb-15-10-f-601755620-bevelling-tool.html" TargetMode="External"/><Relationship Id="rId11" Type="http://schemas.openxmlformats.org/officeDocument/2006/relationships/hyperlink" Target="https://www.metabo.com/us/enus/tools/cutting-sanding-milling/metal-processing/bevelling-tools/kfm-15-10-f-601752620-bevelling-tool.html" TargetMode="External"/><Relationship Id="rId5" Type="http://schemas.openxmlformats.org/officeDocument/2006/relationships/hyperlink" Target="https://www.metabo.com/us/enus/accessories/other-accessories/bevelling-tool-accessories/10-carbide-inserts-r2-623566000.html" TargetMode="External"/><Relationship Id="rId10" Type="http://schemas.openxmlformats.org/officeDocument/2006/relationships/hyperlink" Target="https://www.metabo.com/us/enus/tools/cutting-sanding-milling/metal-processing/bevelling-tools/kfm-18-ltx-3-rf-601754840-cordless-beveling-tool.html" TargetMode="External"/><Relationship Id="rId4" Type="http://schemas.openxmlformats.org/officeDocument/2006/relationships/hyperlink" Target="https://www.metabo.com/us/enus/accessories/other-accessories/bevelling-tool-accessories/10-carbide-inserts-r2-623564000.html" TargetMode="External"/><Relationship Id="rId9" Type="http://schemas.openxmlformats.org/officeDocument/2006/relationships/hyperlink" Target="https://www.metabo.com/us/enus/tools/cutting-sanding-milling/metal-processing/bevelling-tools/kfm-18-ltx-3-rf-601754750-cordless-beveling-tool.html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etabo.com/com/en/tools/cutting-sanding-milling/metal-processing/bevelling-tools/kfm-16-15-f-601753530-bevelling-tool.html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https://www.metabo.com/com/en/accessories/zubehoer-fuer-kantenfraesen/hartmetall-wendemesser/10-carbide-indexable-inserts-r3-623562000.html?listtype=search&amp;searchparam=623562000" TargetMode="External"/><Relationship Id="rId7" Type="http://schemas.openxmlformats.org/officeDocument/2006/relationships/hyperlink" Target="https://www.metabo.com/com/en/tools/cutting-sanding-milling/metal-processing/bevelling-tools/kfm-9-3-rf-601751700-bevelling-tool.html" TargetMode="External"/><Relationship Id="rId12" Type="http://schemas.openxmlformats.org/officeDocument/2006/relationships/hyperlink" Target="https://www.metabo.com/com/en/accessories/other-accessories/accessories-for-bevelling-tools/10-carbide-indexable-inserts-universal-623565000.html?listtype=search&amp;searchparam=623565000" TargetMode="External"/><Relationship Id="rId2" Type="http://schemas.openxmlformats.org/officeDocument/2006/relationships/hyperlink" Target="https://www.metabo.com/com/en/accessories/zubehoer-fuer-kantenfraesen/hartmetall-wendemesser/10-carbide-indexable-inserts-r2-623561000.html?listtype=search&amp;searchparam=623561000" TargetMode="External"/><Relationship Id="rId1" Type="http://schemas.openxmlformats.org/officeDocument/2006/relationships/hyperlink" Target="https://www.metabo.com/com/en/accessories/zubehoer-fuer-kantenfraesen/hartmetall-wendemesser/10-carbide-indexable-inserts-chamfer-45-623560000.html?listtype=search&amp;searchparam=623560000" TargetMode="External"/><Relationship Id="rId6" Type="http://schemas.openxmlformats.org/officeDocument/2006/relationships/hyperlink" Target="https://www.metabo.com/com/en/tools/cutting-sanding-milling/metal-processing/bevelling-tools/kfmpb-15-10-f-601755500-bevelling-tool.html" TargetMode="External"/><Relationship Id="rId11" Type="http://schemas.openxmlformats.org/officeDocument/2006/relationships/hyperlink" Target="https://www.metabo.com/com/en/tools/cutting-sanding-milling/metal-processing/bevelling-tools/kfm-15-10-f-601752500-bevelling-tool.html" TargetMode="External"/><Relationship Id="rId5" Type="http://schemas.openxmlformats.org/officeDocument/2006/relationships/hyperlink" Target="https://www.metabo.com/com/en/accessories/zubehoer-fuer-kantenfraesen/hartmetall-wendemesser/10-fixing-screws-for-indexable-inserts-623566000.html?listtype=search&amp;searchparam=623566000" TargetMode="External"/><Relationship Id="rId10" Type="http://schemas.openxmlformats.org/officeDocument/2006/relationships/hyperlink" Target="https://www.metabo.com/com/en/tools/cutting-sanding-milling/metal-processing/bevelling-tools/kfm-18-ltx-3-rf-601754840-cordless-bevelling-tool.html" TargetMode="External"/><Relationship Id="rId4" Type="http://schemas.openxmlformats.org/officeDocument/2006/relationships/hyperlink" Target="https://www.metabo.com/com/en/accessories/zubehoer-fuer-kantenfraesen/hartmetall-wendemesser/10-carbide-indexable-inserts-universal-623564000.html?listtype=search&amp;searchparam=623564000" TargetMode="External"/><Relationship Id="rId9" Type="http://schemas.openxmlformats.org/officeDocument/2006/relationships/hyperlink" Target="https://www.metabo.com/com/en/tools/cutting-sanding-milling/metal-processing/bevelling-tools/kfm-18-ltx-3-rf-601754700-cordless-bevelling-tool.html" TargetMode="External"/><Relationship Id="rId1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B1:N41"/>
  <sheetViews>
    <sheetView showGridLines="0" zoomScaleNormal="100" zoomScalePageLayoutView="130" workbookViewId="0">
      <selection activeCell="D38" sqref="D38"/>
    </sheetView>
  </sheetViews>
  <sheetFormatPr defaultColWidth="8.85546875" defaultRowHeight="15" x14ac:dyDescent="0.25"/>
  <cols>
    <col min="1" max="1" width="8.85546875" style="61"/>
    <col min="2" max="2" width="3.7109375" style="61" bestFit="1" customWidth="1"/>
    <col min="3" max="3" width="28.42578125" style="61" customWidth="1"/>
    <col min="4" max="14" width="10.7109375" style="61" customWidth="1"/>
    <col min="15" max="16384" width="8.85546875" style="61"/>
  </cols>
  <sheetData>
    <row r="1" spans="2:14" ht="45.75" thickBot="1" x14ac:dyDescent="0.65">
      <c r="B1" s="183" t="s">
        <v>87</v>
      </c>
      <c r="C1" s="183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</row>
    <row r="2" spans="2:14" x14ac:dyDescent="0.25">
      <c r="B2" s="176"/>
      <c r="C2" s="176"/>
      <c r="D2" s="177" t="s">
        <v>40</v>
      </c>
      <c r="E2" s="178"/>
      <c r="F2" s="178"/>
      <c r="G2" s="178"/>
      <c r="H2" s="178"/>
      <c r="I2" s="178"/>
      <c r="J2" s="178"/>
      <c r="K2" s="178"/>
      <c r="L2" s="178"/>
      <c r="M2" s="178"/>
      <c r="N2" s="179"/>
    </row>
    <row r="3" spans="2:14" ht="15.75" thickBot="1" x14ac:dyDescent="0.3">
      <c r="B3" s="176"/>
      <c r="C3" s="176"/>
      <c r="D3" s="62">
        <v>6.25E-2</v>
      </c>
      <c r="E3" s="63">
        <v>0.125</v>
      </c>
      <c r="F3" s="63">
        <v>0.15625</v>
      </c>
      <c r="G3" s="63">
        <v>0.1875</v>
      </c>
      <c r="H3" s="63">
        <v>0.25</v>
      </c>
      <c r="I3" s="63">
        <v>0.3125</v>
      </c>
      <c r="J3" s="63">
        <v>0.375</v>
      </c>
      <c r="K3" s="63">
        <v>0.4375</v>
      </c>
      <c r="L3" s="63">
        <v>0.5</v>
      </c>
      <c r="M3" s="63">
        <v>0.5625</v>
      </c>
      <c r="N3" s="64">
        <v>0.625</v>
      </c>
    </row>
    <row r="4" spans="2:14" ht="15" customHeight="1" x14ac:dyDescent="0.25">
      <c r="B4" s="180" t="s">
        <v>41</v>
      </c>
      <c r="C4" s="65">
        <v>0</v>
      </c>
      <c r="D4" s="66"/>
      <c r="E4" s="67"/>
      <c r="F4" s="67"/>
      <c r="G4" s="67"/>
      <c r="H4" s="67"/>
      <c r="I4" s="67"/>
      <c r="J4" s="67"/>
      <c r="K4" s="67"/>
      <c r="L4" s="67"/>
      <c r="M4" s="67"/>
      <c r="N4" s="68"/>
    </row>
    <row r="5" spans="2:14" x14ac:dyDescent="0.25">
      <c r="B5" s="181"/>
      <c r="C5" s="69">
        <v>30</v>
      </c>
      <c r="D5" s="70"/>
      <c r="E5" s="71"/>
      <c r="F5" s="71"/>
      <c r="G5" s="71"/>
      <c r="H5" s="71"/>
      <c r="I5" s="71"/>
      <c r="J5" s="71"/>
      <c r="K5" s="71"/>
      <c r="L5" s="71"/>
      <c r="M5" s="72"/>
      <c r="N5" s="73"/>
    </row>
    <row r="6" spans="2:14" x14ac:dyDescent="0.25">
      <c r="B6" s="181"/>
      <c r="C6" s="69">
        <v>31.5</v>
      </c>
      <c r="D6" s="70"/>
      <c r="E6" s="71"/>
      <c r="F6" s="71"/>
      <c r="G6" s="71"/>
      <c r="H6" s="71"/>
      <c r="I6" s="71"/>
      <c r="J6" s="71"/>
      <c r="K6" s="71"/>
      <c r="L6" s="71"/>
      <c r="M6" s="72"/>
      <c r="N6" s="73"/>
    </row>
    <row r="7" spans="2:14" x14ac:dyDescent="0.25">
      <c r="B7" s="181"/>
      <c r="C7" s="69">
        <v>37.5</v>
      </c>
      <c r="D7" s="70"/>
      <c r="E7" s="71"/>
      <c r="F7" s="71"/>
      <c r="G7" s="71"/>
      <c r="H7" s="71"/>
      <c r="I7" s="71"/>
      <c r="J7" s="71"/>
      <c r="K7" s="71"/>
      <c r="L7" s="72"/>
      <c r="M7" s="72"/>
      <c r="N7" s="73"/>
    </row>
    <row r="8" spans="2:14" x14ac:dyDescent="0.25">
      <c r="B8" s="181"/>
      <c r="C8" s="69">
        <v>45</v>
      </c>
      <c r="D8" s="74"/>
      <c r="E8" s="75"/>
      <c r="F8" s="75"/>
      <c r="G8" s="75"/>
      <c r="H8" s="71"/>
      <c r="I8" s="71"/>
      <c r="J8" s="71"/>
      <c r="K8" s="76"/>
      <c r="L8" s="72"/>
      <c r="M8" s="72"/>
      <c r="N8" s="72"/>
    </row>
    <row r="9" spans="2:14" x14ac:dyDescent="0.25">
      <c r="B9" s="181"/>
      <c r="C9" s="69">
        <v>60</v>
      </c>
      <c r="D9" s="70"/>
      <c r="E9" s="71"/>
      <c r="F9" s="71"/>
      <c r="G9" s="71"/>
      <c r="H9" s="71"/>
      <c r="I9" s="71"/>
      <c r="J9" s="72"/>
      <c r="K9" s="72"/>
      <c r="L9" s="72"/>
      <c r="M9" s="77"/>
      <c r="N9" s="78"/>
    </row>
    <row r="10" spans="2:14" x14ac:dyDescent="0.25">
      <c r="B10" s="181"/>
      <c r="C10" s="79">
        <v>70</v>
      </c>
      <c r="D10" s="80"/>
      <c r="E10" s="81"/>
      <c r="F10" s="81"/>
      <c r="G10" s="81"/>
      <c r="H10" s="81"/>
      <c r="I10" s="82"/>
      <c r="J10" s="82"/>
      <c r="K10" s="82"/>
      <c r="L10" s="83"/>
      <c r="M10" s="83"/>
      <c r="N10" s="84"/>
    </row>
    <row r="11" spans="2:14" ht="15.75" thickBot="1" x14ac:dyDescent="0.3">
      <c r="B11" s="182"/>
      <c r="C11" s="85">
        <v>90</v>
      </c>
      <c r="D11" s="86"/>
      <c r="E11" s="87"/>
      <c r="F11" s="87"/>
      <c r="G11" s="87"/>
      <c r="H11" s="87"/>
      <c r="I11" s="88"/>
      <c r="J11" s="88"/>
      <c r="K11" s="88"/>
      <c r="L11" s="89"/>
      <c r="M11" s="89"/>
      <c r="N11" s="90"/>
    </row>
    <row r="13" spans="2:14" x14ac:dyDescent="0.25">
      <c r="D13" s="91"/>
      <c r="E13" s="61" t="s">
        <v>68</v>
      </c>
    </row>
    <row r="14" spans="2:14" x14ac:dyDescent="0.25">
      <c r="D14" s="92"/>
      <c r="E14" s="61" t="s">
        <v>20</v>
      </c>
    </row>
    <row r="15" spans="2:14" x14ac:dyDescent="0.25">
      <c r="D15" s="76"/>
      <c r="E15" s="61" t="s">
        <v>21</v>
      </c>
    </row>
    <row r="16" spans="2:14" x14ac:dyDescent="0.25">
      <c r="D16" s="93"/>
      <c r="E16" s="61" t="s">
        <v>45</v>
      </c>
    </row>
    <row r="17" spans="4:14" ht="15.75" thickBot="1" x14ac:dyDescent="0.3"/>
    <row r="18" spans="4:14" ht="18.75" x14ac:dyDescent="0.3">
      <c r="D18" s="172" t="s">
        <v>60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85"/>
    </row>
    <row r="19" spans="4:14" x14ac:dyDescent="0.25">
      <c r="D19" s="94" t="s">
        <v>52</v>
      </c>
      <c r="E19" s="165" t="s">
        <v>58</v>
      </c>
      <c r="F19" s="165"/>
      <c r="G19" s="165"/>
      <c r="H19" s="165"/>
      <c r="I19" s="174" t="s">
        <v>53</v>
      </c>
      <c r="J19" s="186"/>
      <c r="K19" s="186"/>
      <c r="L19" s="186"/>
      <c r="M19" s="186"/>
      <c r="N19" s="175"/>
    </row>
    <row r="20" spans="4:14" x14ac:dyDescent="0.25">
      <c r="D20" s="95">
        <v>601754750</v>
      </c>
      <c r="E20" s="166" t="s">
        <v>50</v>
      </c>
      <c r="F20" s="166"/>
      <c r="G20" s="166"/>
      <c r="H20" s="166"/>
      <c r="I20" s="167" t="s">
        <v>62</v>
      </c>
      <c r="J20" s="167"/>
      <c r="K20" s="167"/>
      <c r="L20" s="167"/>
      <c r="M20" s="167"/>
      <c r="N20" s="168"/>
    </row>
    <row r="21" spans="4:14" x14ac:dyDescent="0.25">
      <c r="D21" s="95">
        <v>601754840</v>
      </c>
      <c r="E21" s="166" t="s">
        <v>51</v>
      </c>
      <c r="F21" s="166"/>
      <c r="G21" s="166"/>
      <c r="H21" s="166"/>
      <c r="I21" s="167" t="s">
        <v>63</v>
      </c>
      <c r="J21" s="167"/>
      <c r="K21" s="167"/>
      <c r="L21" s="167"/>
      <c r="M21" s="167"/>
      <c r="N21" s="168"/>
    </row>
    <row r="22" spans="4:14" x14ac:dyDescent="0.25">
      <c r="D22" s="95">
        <v>601751750</v>
      </c>
      <c r="E22" s="166" t="s">
        <v>46</v>
      </c>
      <c r="F22" s="166"/>
      <c r="G22" s="166"/>
      <c r="H22" s="166"/>
      <c r="I22" s="167" t="s">
        <v>64</v>
      </c>
      <c r="J22" s="167"/>
      <c r="K22" s="167"/>
      <c r="L22" s="167"/>
      <c r="M22" s="167"/>
      <c r="N22" s="168"/>
    </row>
    <row r="23" spans="4:14" x14ac:dyDescent="0.25">
      <c r="D23" s="95">
        <v>601752620</v>
      </c>
      <c r="E23" s="166" t="s">
        <v>47</v>
      </c>
      <c r="F23" s="166"/>
      <c r="G23" s="166"/>
      <c r="H23" s="166"/>
      <c r="I23" s="167" t="s">
        <v>65</v>
      </c>
      <c r="J23" s="167"/>
      <c r="K23" s="167"/>
      <c r="L23" s="167"/>
      <c r="M23" s="167"/>
      <c r="N23" s="168"/>
    </row>
    <row r="24" spans="4:14" x14ac:dyDescent="0.25">
      <c r="D24" s="95">
        <v>601755620</v>
      </c>
      <c r="E24" s="166" t="s">
        <v>48</v>
      </c>
      <c r="F24" s="166"/>
      <c r="G24" s="166"/>
      <c r="H24" s="166"/>
      <c r="I24" s="167" t="s">
        <v>66</v>
      </c>
      <c r="J24" s="167"/>
      <c r="K24" s="167"/>
      <c r="L24" s="167"/>
      <c r="M24" s="167"/>
      <c r="N24" s="168"/>
    </row>
    <row r="25" spans="4:14" ht="15.75" thickBot="1" x14ac:dyDescent="0.3">
      <c r="D25" s="96">
        <v>601753620</v>
      </c>
      <c r="E25" s="164" t="s">
        <v>49</v>
      </c>
      <c r="F25" s="164"/>
      <c r="G25" s="164"/>
      <c r="H25" s="164"/>
      <c r="I25" s="169" t="s">
        <v>67</v>
      </c>
      <c r="J25" s="169"/>
      <c r="K25" s="169"/>
      <c r="L25" s="169"/>
      <c r="M25" s="169"/>
      <c r="N25" s="170"/>
    </row>
    <row r="26" spans="4:14" ht="15.75" thickBot="1" x14ac:dyDescent="0.3"/>
    <row r="27" spans="4:14" ht="18.75" x14ac:dyDescent="0.3">
      <c r="D27" s="172" t="s">
        <v>61</v>
      </c>
      <c r="E27" s="173"/>
      <c r="F27" s="173"/>
      <c r="G27" s="173"/>
      <c r="H27" s="173"/>
      <c r="I27" s="173"/>
      <c r="J27" s="173"/>
    </row>
    <row r="28" spans="4:14" x14ac:dyDescent="0.25">
      <c r="D28" s="94" t="s">
        <v>52</v>
      </c>
      <c r="E28" s="165" t="s">
        <v>58</v>
      </c>
      <c r="F28" s="165"/>
      <c r="G28" s="165"/>
      <c r="H28" s="165"/>
      <c r="I28" s="174" t="s">
        <v>59</v>
      </c>
      <c r="J28" s="175"/>
    </row>
    <row r="29" spans="4:14" x14ac:dyDescent="0.25">
      <c r="D29" s="95">
        <v>623560000</v>
      </c>
      <c r="E29" s="166" t="s">
        <v>70</v>
      </c>
      <c r="F29" s="166"/>
      <c r="G29" s="166"/>
      <c r="H29" s="166"/>
      <c r="I29" s="97" t="s">
        <v>54</v>
      </c>
      <c r="J29" s="98"/>
    </row>
    <row r="30" spans="4:14" x14ac:dyDescent="0.25">
      <c r="D30" s="95">
        <v>623561000</v>
      </c>
      <c r="E30" s="166" t="s">
        <v>71</v>
      </c>
      <c r="F30" s="166"/>
      <c r="G30" s="166"/>
      <c r="H30" s="166"/>
      <c r="I30" s="97" t="s">
        <v>54</v>
      </c>
      <c r="J30" s="98"/>
    </row>
    <row r="31" spans="4:14" x14ac:dyDescent="0.25">
      <c r="D31" s="95">
        <v>623562000</v>
      </c>
      <c r="E31" s="166" t="s">
        <v>72</v>
      </c>
      <c r="F31" s="166"/>
      <c r="G31" s="166"/>
      <c r="H31" s="166"/>
      <c r="I31" s="97" t="s">
        <v>54</v>
      </c>
      <c r="J31" s="98"/>
    </row>
    <row r="32" spans="4:14" x14ac:dyDescent="0.25">
      <c r="D32" s="95">
        <v>623564000</v>
      </c>
      <c r="E32" s="166" t="s">
        <v>69</v>
      </c>
      <c r="F32" s="166"/>
      <c r="G32" s="166"/>
      <c r="H32" s="166"/>
      <c r="I32" s="97" t="s">
        <v>55</v>
      </c>
      <c r="J32" s="98"/>
    </row>
    <row r="33" spans="2:10" x14ac:dyDescent="0.25">
      <c r="D33" s="118">
        <v>623565000</v>
      </c>
      <c r="E33" s="171" t="s">
        <v>75</v>
      </c>
      <c r="F33" s="171"/>
      <c r="G33" s="171"/>
      <c r="H33" s="171"/>
      <c r="I33" s="97" t="s">
        <v>55</v>
      </c>
      <c r="J33" s="98"/>
    </row>
    <row r="34" spans="2:10" ht="15.75" thickBot="1" x14ac:dyDescent="0.3">
      <c r="D34" s="96">
        <v>623566000</v>
      </c>
      <c r="E34" s="164" t="s">
        <v>56</v>
      </c>
      <c r="F34" s="164"/>
      <c r="G34" s="164"/>
      <c r="H34" s="164"/>
      <c r="I34" s="99" t="s">
        <v>57</v>
      </c>
      <c r="J34" s="100"/>
    </row>
    <row r="35" spans="2:10" x14ac:dyDescent="0.25">
      <c r="F35" s="101"/>
    </row>
    <row r="41" spans="2:10" x14ac:dyDescent="0.25">
      <c r="B41" s="126" t="s">
        <v>79</v>
      </c>
      <c r="I41" s="126" t="s">
        <v>80</v>
      </c>
    </row>
  </sheetData>
  <mergeCells count="28">
    <mergeCell ref="B1:N1"/>
    <mergeCell ref="E20:H20"/>
    <mergeCell ref="I20:N20"/>
    <mergeCell ref="D18:N18"/>
    <mergeCell ref="E19:H19"/>
    <mergeCell ref="I19:N19"/>
    <mergeCell ref="I21:N21"/>
    <mergeCell ref="I22:N22"/>
    <mergeCell ref="I23:N23"/>
    <mergeCell ref="B2:C3"/>
    <mergeCell ref="D2:N2"/>
    <mergeCell ref="B4:B11"/>
    <mergeCell ref="E21:H21"/>
    <mergeCell ref="E22:H22"/>
    <mergeCell ref="E23:H23"/>
    <mergeCell ref="E24:H24"/>
    <mergeCell ref="E25:H25"/>
    <mergeCell ref="I24:N24"/>
    <mergeCell ref="I25:N25"/>
    <mergeCell ref="E33:H33"/>
    <mergeCell ref="E32:H32"/>
    <mergeCell ref="D27:J27"/>
    <mergeCell ref="I28:J28"/>
    <mergeCell ref="E34:H34"/>
    <mergeCell ref="E28:H28"/>
    <mergeCell ref="E29:H29"/>
    <mergeCell ref="E30:H30"/>
    <mergeCell ref="E31:H31"/>
  </mergeCells>
  <conditionalFormatting sqref="D4:N7 D9:N10 D8:J8 L8:N8">
    <cfRule type="cellIs" dxfId="53" priority="8" operator="between">
      <formula>0</formula>
      <formula>$L$4</formula>
    </cfRule>
    <cfRule type="cellIs" dxfId="52" priority="9" operator="between">
      <formula>$L$4</formula>
      <formula>$L$5</formula>
    </cfRule>
    <cfRule type="cellIs" dxfId="51" priority="10" operator="greaterThan">
      <formula>$L$5</formula>
    </cfRule>
  </conditionalFormatting>
  <conditionalFormatting sqref="D8:J8 L8:N8">
    <cfRule type="cellIs" dxfId="50" priority="7" operator="lessThanOrEqual">
      <formula>$L$3</formula>
    </cfRule>
  </conditionalFormatting>
  <conditionalFormatting sqref="D11:N11">
    <cfRule type="cellIs" dxfId="49" priority="4" operator="between">
      <formula>0</formula>
      <formula>$L$4</formula>
    </cfRule>
    <cfRule type="cellIs" dxfId="48" priority="5" operator="between">
      <formula>$L$4</formula>
      <formula>$L$5</formula>
    </cfRule>
    <cfRule type="cellIs" dxfId="47" priority="6" operator="greaterThan">
      <formula>$L$5</formula>
    </cfRule>
  </conditionalFormatting>
  <conditionalFormatting sqref="D19:E19">
    <cfRule type="duplicateValues" dxfId="46" priority="3"/>
  </conditionalFormatting>
  <conditionalFormatting sqref="D28:E28">
    <cfRule type="duplicateValues" dxfId="45" priority="1"/>
  </conditionalFormatting>
  <hyperlinks>
    <hyperlink ref="E29:H29" r:id="rId1" display="45 degrees cutters (10pcs)" xr:uid="{00000000-0004-0000-0000-000000000000}"/>
    <hyperlink ref="E30:H30" r:id="rId2" display="R2 2mm - 5/64&quot;  Radius cutters " xr:uid="{00000000-0004-0000-0000-000001000000}"/>
    <hyperlink ref="E31:H31" r:id="rId3" display="R3 3mm - 1/8&quot; Radius cutters" xr:uid="{00000000-0004-0000-0000-000002000000}"/>
    <hyperlink ref="E32:H32" r:id="rId4" display="Square Cutters (10pcs)" xr:uid="{00000000-0004-0000-0000-000003000000}"/>
    <hyperlink ref="E34:H34" r:id="rId5" display="Screws for cutters for bevelling tool (10pcs)" xr:uid="{00000000-0004-0000-0000-000004000000}"/>
    <hyperlink ref="E24:H24" r:id="rId6" display="KFMPB 15-10 F " xr:uid="{00000000-0004-0000-0000-000005000000}"/>
    <hyperlink ref="E22:H22" r:id="rId7" display="KFM 9-3 RF " xr:uid="{00000000-0004-0000-0000-000006000000}"/>
    <hyperlink ref="E25:H25" r:id="rId8" display="KFM 16-15 F " xr:uid="{00000000-0004-0000-0000-000007000000}"/>
    <hyperlink ref="E20:H20" r:id="rId9" display="KFM 18 LTX 3 RF 2x 5.5Ah LiHD kit" xr:uid="{00000000-0004-0000-0000-000008000000}"/>
    <hyperlink ref="E21:H21" r:id="rId10" display="KFM 18 LTX 3 RF 18V bare" xr:uid="{00000000-0004-0000-0000-000009000000}"/>
    <hyperlink ref="E23:H23" r:id="rId11" display="KFM 15-10 F " xr:uid="{00000000-0004-0000-0000-00000A000000}"/>
    <hyperlink ref="E33:H33" r:id="rId12" display="Square Cutters Stainless (10pcs)" xr:uid="{00000000-0004-0000-0000-00000B000000}"/>
  </hyperlinks>
  <pageMargins left="0.7" right="0.7" top="0.75" bottom="0.75" header="0.3" footer="0.3"/>
  <pageSetup orientation="portrait" r:id="rId13"/>
  <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autoPageBreaks="0"/>
  </sheetPr>
  <dimension ref="B1:V80"/>
  <sheetViews>
    <sheetView showGridLines="0" tabSelected="1" workbookViewId="0">
      <selection activeCell="D9" sqref="D9"/>
    </sheetView>
  </sheetViews>
  <sheetFormatPr defaultColWidth="8.85546875" defaultRowHeight="15" x14ac:dyDescent="0.25"/>
  <cols>
    <col min="1" max="1" width="1.28515625" style="1" customWidth="1"/>
    <col min="2" max="2" width="20.85546875" style="1" customWidth="1"/>
    <col min="3" max="3" width="17.85546875" style="1" customWidth="1"/>
    <col min="4" max="4" width="7.28515625" style="1" customWidth="1"/>
    <col min="5" max="6" width="8.85546875" style="1"/>
    <col min="7" max="7" width="9.140625" style="1" customWidth="1"/>
    <col min="8" max="8" width="9.140625" style="1" hidden="1" customWidth="1"/>
    <col min="9" max="9" width="3.7109375" style="1" hidden="1" customWidth="1"/>
    <col min="10" max="10" width="30.42578125" style="1" hidden="1" customWidth="1"/>
    <col min="11" max="14" width="14.7109375" style="1" hidden="1" customWidth="1"/>
    <col min="15" max="20" width="12.7109375" style="1" hidden="1" customWidth="1"/>
    <col min="21" max="21" width="9.140625" style="1" hidden="1" customWidth="1"/>
    <col min="22" max="22" width="9.42578125" style="1" hidden="1" customWidth="1"/>
    <col min="23" max="16384" width="8.85546875" style="1"/>
  </cols>
  <sheetData>
    <row r="1" spans="2:21" ht="15.75" thickBot="1" x14ac:dyDescent="0.3">
      <c r="D1" s="1" t="s">
        <v>89</v>
      </c>
    </row>
    <row r="2" spans="2:21" x14ac:dyDescent="0.25">
      <c r="D2" s="1" t="s">
        <v>90</v>
      </c>
      <c r="J2" s="2" t="s">
        <v>3</v>
      </c>
      <c r="K2" s="3" t="s">
        <v>4</v>
      </c>
      <c r="L2" s="4" t="s">
        <v>5</v>
      </c>
      <c r="N2" s="5" t="s">
        <v>30</v>
      </c>
      <c r="O2" s="5"/>
      <c r="P2" s="5" t="s">
        <v>7</v>
      </c>
    </row>
    <row r="3" spans="2:21" x14ac:dyDescent="0.25">
      <c r="J3" s="6" t="s">
        <v>0</v>
      </c>
      <c r="K3" s="7">
        <f>5/32</f>
        <v>0.15625</v>
      </c>
      <c r="L3" s="8">
        <f>K3</f>
        <v>0.15625</v>
      </c>
      <c r="N3" s="5">
        <v>0.1</v>
      </c>
      <c r="O3" s="5" t="s">
        <v>31</v>
      </c>
      <c r="P3" s="5" t="s">
        <v>8</v>
      </c>
    </row>
    <row r="4" spans="2:21" x14ac:dyDescent="0.25">
      <c r="J4" s="9" t="s">
        <v>1</v>
      </c>
      <c r="K4" s="10">
        <f>3/8+0.01</f>
        <v>0.38500000000000001</v>
      </c>
      <c r="L4" s="11">
        <f t="shared" ref="L4:L5" si="0">K4*SIN(45*PI()/180)</f>
        <v>0.2722361107568208</v>
      </c>
      <c r="N4" s="5">
        <v>3.9370000000000004E-3</v>
      </c>
      <c r="O4" s="5" t="s">
        <v>32</v>
      </c>
      <c r="P4" s="5" t="s">
        <v>9</v>
      </c>
    </row>
    <row r="5" spans="2:21" ht="15.75" thickBot="1" x14ac:dyDescent="0.3">
      <c r="J5" s="12" t="s">
        <v>2</v>
      </c>
      <c r="K5" s="13">
        <f>0.625+0.01</f>
        <v>0.63500000000000001</v>
      </c>
      <c r="L5" s="14">
        <f t="shared" si="0"/>
        <v>0.44901280605345767</v>
      </c>
    </row>
    <row r="6" spans="2:21" ht="15.75" thickBot="1" x14ac:dyDescent="0.3">
      <c r="K6" s="15"/>
      <c r="L6" s="16"/>
    </row>
    <row r="7" spans="2:21" x14ac:dyDescent="0.25">
      <c r="I7" s="187" t="s">
        <v>39</v>
      </c>
      <c r="J7" s="188"/>
      <c r="K7" s="191" t="s">
        <v>40</v>
      </c>
      <c r="L7" s="192"/>
      <c r="M7" s="192"/>
      <c r="N7" s="192"/>
      <c r="O7" s="192"/>
      <c r="P7" s="192"/>
      <c r="Q7" s="192"/>
      <c r="R7" s="192"/>
      <c r="S7" s="192"/>
      <c r="T7" s="192"/>
      <c r="U7" s="193"/>
    </row>
    <row r="8" spans="2:21" ht="15.75" thickBot="1" x14ac:dyDescent="0.3">
      <c r="I8" s="189"/>
      <c r="J8" s="190"/>
      <c r="K8" s="29">
        <v>6.25E-2</v>
      </c>
      <c r="L8" s="30">
        <v>0.125</v>
      </c>
      <c r="M8" s="30">
        <v>0.15625</v>
      </c>
      <c r="N8" s="30">
        <v>0.1875</v>
      </c>
      <c r="O8" s="30">
        <v>0.25</v>
      </c>
      <c r="P8" s="30">
        <v>0.3125</v>
      </c>
      <c r="Q8" s="30">
        <v>0.375</v>
      </c>
      <c r="R8" s="30">
        <v>0.4375</v>
      </c>
      <c r="S8" s="30">
        <v>0.5</v>
      </c>
      <c r="T8" s="30">
        <v>0.5625</v>
      </c>
      <c r="U8" s="31">
        <v>0.625</v>
      </c>
    </row>
    <row r="9" spans="2:21" ht="15" customHeight="1" x14ac:dyDescent="0.25">
      <c r="I9" s="194" t="s">
        <v>41</v>
      </c>
      <c r="J9" s="17">
        <v>0</v>
      </c>
      <c r="K9" s="18">
        <f t="shared" ref="K9:U15" si="1">MROUND(K$8*SIN($J9*PI()/180),1/64)</f>
        <v>0</v>
      </c>
      <c r="L9" s="19">
        <f t="shared" si="1"/>
        <v>0</v>
      </c>
      <c r="M9" s="19">
        <f t="shared" si="1"/>
        <v>0</v>
      </c>
      <c r="N9" s="19">
        <f t="shared" si="1"/>
        <v>0</v>
      </c>
      <c r="O9" s="19">
        <f t="shared" si="1"/>
        <v>0</v>
      </c>
      <c r="P9" s="19">
        <f t="shared" si="1"/>
        <v>0</v>
      </c>
      <c r="Q9" s="19">
        <f t="shared" si="1"/>
        <v>0</v>
      </c>
      <c r="R9" s="19">
        <f t="shared" si="1"/>
        <v>0</v>
      </c>
      <c r="S9" s="19">
        <f t="shared" si="1"/>
        <v>0</v>
      </c>
      <c r="T9" s="19">
        <f t="shared" si="1"/>
        <v>0</v>
      </c>
      <c r="U9" s="20">
        <f t="shared" si="1"/>
        <v>0</v>
      </c>
    </row>
    <row r="10" spans="2:21" x14ac:dyDescent="0.25">
      <c r="I10" s="195"/>
      <c r="J10" s="21">
        <v>30</v>
      </c>
      <c r="K10" s="22">
        <f t="shared" si="1"/>
        <v>3.125E-2</v>
      </c>
      <c r="L10" s="23">
        <f t="shared" si="1"/>
        <v>6.25E-2</v>
      </c>
      <c r="M10" s="23">
        <f t="shared" si="1"/>
        <v>7.8125E-2</v>
      </c>
      <c r="N10" s="23">
        <f t="shared" si="1"/>
        <v>9.375E-2</v>
      </c>
      <c r="O10" s="23">
        <f t="shared" si="1"/>
        <v>0.125</v>
      </c>
      <c r="P10" s="23">
        <f t="shared" si="1"/>
        <v>0.15625</v>
      </c>
      <c r="Q10" s="23">
        <f t="shared" si="1"/>
        <v>0.1875</v>
      </c>
      <c r="R10" s="23">
        <f t="shared" si="1"/>
        <v>0.21875</v>
      </c>
      <c r="S10" s="23">
        <f t="shared" si="1"/>
        <v>0.25</v>
      </c>
      <c r="T10" s="23">
        <f t="shared" si="1"/>
        <v>0.28125</v>
      </c>
      <c r="U10" s="24">
        <f t="shared" si="1"/>
        <v>0.3125</v>
      </c>
    </row>
    <row r="11" spans="2:21" x14ac:dyDescent="0.25">
      <c r="I11" s="195"/>
      <c r="J11" s="21">
        <v>31.5</v>
      </c>
      <c r="K11" s="22">
        <f t="shared" si="1"/>
        <v>3.125E-2</v>
      </c>
      <c r="L11" s="23">
        <f t="shared" si="1"/>
        <v>6.25E-2</v>
      </c>
      <c r="M11" s="23">
        <f t="shared" si="1"/>
        <v>7.8125E-2</v>
      </c>
      <c r="N11" s="23">
        <f t="shared" si="1"/>
        <v>9.375E-2</v>
      </c>
      <c r="O11" s="23">
        <f t="shared" si="1"/>
        <v>0.125</v>
      </c>
      <c r="P11" s="23">
        <f t="shared" si="1"/>
        <v>0.15625</v>
      </c>
      <c r="Q11" s="23">
        <f t="shared" si="1"/>
        <v>0.203125</v>
      </c>
      <c r="R11" s="23">
        <f t="shared" si="1"/>
        <v>0.234375</v>
      </c>
      <c r="S11" s="23">
        <f t="shared" si="1"/>
        <v>0.265625</v>
      </c>
      <c r="T11" s="23">
        <f t="shared" si="1"/>
        <v>0.296875</v>
      </c>
      <c r="U11" s="24">
        <f t="shared" si="1"/>
        <v>0.328125</v>
      </c>
    </row>
    <row r="12" spans="2:21" x14ac:dyDescent="0.25">
      <c r="I12" s="195"/>
      <c r="J12" s="21">
        <v>37.5</v>
      </c>
      <c r="K12" s="22">
        <f t="shared" si="1"/>
        <v>3.125E-2</v>
      </c>
      <c r="L12" s="23">
        <f>MROUND(L$8*SIN($J12*PI()/180),1/64)</f>
        <v>7.8125E-2</v>
      </c>
      <c r="M12" s="23">
        <f t="shared" si="1"/>
        <v>9.375E-2</v>
      </c>
      <c r="N12" s="23">
        <f t="shared" si="1"/>
        <v>0.109375</v>
      </c>
      <c r="O12" s="23">
        <f t="shared" si="1"/>
        <v>0.15625</v>
      </c>
      <c r="P12" s="23">
        <f t="shared" si="1"/>
        <v>0.1875</v>
      </c>
      <c r="Q12" s="23">
        <f t="shared" si="1"/>
        <v>0.234375</v>
      </c>
      <c r="R12" s="23">
        <f t="shared" si="1"/>
        <v>0.265625</v>
      </c>
      <c r="S12" s="23">
        <f t="shared" si="1"/>
        <v>0.296875</v>
      </c>
      <c r="T12" s="23">
        <f t="shared" si="1"/>
        <v>0.34375</v>
      </c>
      <c r="U12" s="24">
        <f t="shared" si="1"/>
        <v>0.375</v>
      </c>
    </row>
    <row r="13" spans="2:21" x14ac:dyDescent="0.25">
      <c r="I13" s="195"/>
      <c r="J13" s="21">
        <v>45</v>
      </c>
      <c r="K13" s="22">
        <f t="shared" si="1"/>
        <v>4.6875E-2</v>
      </c>
      <c r="L13" s="23">
        <f t="shared" si="1"/>
        <v>9.375E-2</v>
      </c>
      <c r="M13" s="23">
        <f t="shared" si="1"/>
        <v>0.109375</v>
      </c>
      <c r="N13" s="23">
        <f>MROUND(N$8*SIN($J13*PI()/180),1/64)</f>
        <v>0.125</v>
      </c>
      <c r="O13" s="23">
        <f t="shared" si="1"/>
        <v>0.171875</v>
      </c>
      <c r="P13" s="23">
        <f t="shared" si="1"/>
        <v>0.21875</v>
      </c>
      <c r="Q13" s="23">
        <f t="shared" si="1"/>
        <v>0.265625</v>
      </c>
      <c r="R13" s="23">
        <f t="shared" si="1"/>
        <v>0.3125</v>
      </c>
      <c r="S13" s="23">
        <f t="shared" si="1"/>
        <v>0.359375</v>
      </c>
      <c r="T13" s="23">
        <f t="shared" si="1"/>
        <v>0.390625</v>
      </c>
      <c r="U13" s="24">
        <f t="shared" si="1"/>
        <v>0.4375</v>
      </c>
    </row>
    <row r="14" spans="2:21" ht="15.75" thickBot="1" x14ac:dyDescent="0.3">
      <c r="B14" s="25" t="s">
        <v>16</v>
      </c>
      <c r="C14" s="26"/>
      <c r="I14" s="195"/>
      <c r="J14" s="21">
        <v>60</v>
      </c>
      <c r="K14" s="22">
        <f t="shared" si="1"/>
        <v>4.6875E-2</v>
      </c>
      <c r="L14" s="23">
        <f t="shared" si="1"/>
        <v>0.109375</v>
      </c>
      <c r="M14" s="23">
        <f t="shared" si="1"/>
        <v>0.140625</v>
      </c>
      <c r="N14" s="23">
        <f t="shared" si="1"/>
        <v>0.15625</v>
      </c>
      <c r="O14" s="23">
        <f t="shared" si="1"/>
        <v>0.21875</v>
      </c>
      <c r="P14" s="23">
        <f>MROUND(P$8*SIN($J14*PI()/180),1/64)</f>
        <v>0.265625</v>
      </c>
      <c r="Q14" s="23">
        <f t="shared" si="1"/>
        <v>0.328125</v>
      </c>
      <c r="R14" s="23">
        <f t="shared" si="1"/>
        <v>0.375</v>
      </c>
      <c r="S14" s="23">
        <f t="shared" si="1"/>
        <v>0.4375</v>
      </c>
      <c r="T14" s="23">
        <f t="shared" si="1"/>
        <v>0.484375</v>
      </c>
      <c r="U14" s="24">
        <f t="shared" si="1"/>
        <v>0.546875</v>
      </c>
    </row>
    <row r="15" spans="2:21" ht="15.75" thickBot="1" x14ac:dyDescent="0.3">
      <c r="B15" s="27" t="s">
        <v>6</v>
      </c>
      <c r="C15" s="102" t="s">
        <v>8</v>
      </c>
      <c r="I15" s="196"/>
      <c r="J15" s="28">
        <v>70</v>
      </c>
      <c r="K15" s="29">
        <f t="shared" si="1"/>
        <v>6.25E-2</v>
      </c>
      <c r="L15" s="30">
        <f t="shared" si="1"/>
        <v>0.125</v>
      </c>
      <c r="M15" s="30">
        <f t="shared" si="1"/>
        <v>0.140625</v>
      </c>
      <c r="N15" s="30">
        <f t="shared" si="1"/>
        <v>0.171875</v>
      </c>
      <c r="O15" s="30">
        <f t="shared" si="1"/>
        <v>0.234375</v>
      </c>
      <c r="P15" s="30">
        <f t="shared" si="1"/>
        <v>0.296875</v>
      </c>
      <c r="Q15" s="30">
        <f t="shared" si="1"/>
        <v>0.359375</v>
      </c>
      <c r="R15" s="30">
        <f t="shared" si="1"/>
        <v>0.40625</v>
      </c>
      <c r="S15" s="30">
        <f t="shared" si="1"/>
        <v>0.46875</v>
      </c>
      <c r="T15" s="30">
        <f t="shared" si="1"/>
        <v>0.53125</v>
      </c>
      <c r="U15" s="31">
        <f t="shared" si="1"/>
        <v>0.59375</v>
      </c>
    </row>
    <row r="16" spans="2:21" x14ac:dyDescent="0.25">
      <c r="B16" s="27" t="s">
        <v>36</v>
      </c>
      <c r="C16" s="103">
        <v>25</v>
      </c>
    </row>
    <row r="17" spans="2:22" ht="15.75" thickBot="1" x14ac:dyDescent="0.3">
      <c r="B17" s="27" t="s">
        <v>10</v>
      </c>
      <c r="C17" s="104">
        <v>0.25</v>
      </c>
    </row>
    <row r="18" spans="2:22" ht="30" customHeight="1" thickBot="1" x14ac:dyDescent="0.3">
      <c r="B18" s="48" t="s">
        <v>43</v>
      </c>
      <c r="C18" s="105" t="s">
        <v>42</v>
      </c>
      <c r="D18" s="197" t="str">
        <f>_xlfn.IFNA(IF(S25&gt;C23*VLOOKUP(C18,J45:N48,5,FALSE),"Application not possible with this tool (exceeded capacity)",IF(OR(C18=J19,C18=J20),IF(C16&lt;&gt;J13,"Application not possible with this tool, 45 deg angle only",""),"")),"")</f>
        <v/>
      </c>
      <c r="E18" s="197"/>
      <c r="F18" s="197"/>
      <c r="I18" s="34"/>
      <c r="J18" s="35" t="s">
        <v>22</v>
      </c>
      <c r="K18" s="36" t="s">
        <v>23</v>
      </c>
      <c r="L18" s="37" t="s">
        <v>24</v>
      </c>
      <c r="M18" s="37" t="s">
        <v>25</v>
      </c>
      <c r="N18" s="37" t="s">
        <v>29</v>
      </c>
      <c r="O18" s="37"/>
      <c r="P18" s="38"/>
      <c r="R18" s="198" t="s">
        <v>74</v>
      </c>
      <c r="S18" s="199"/>
      <c r="T18" s="200"/>
    </row>
    <row r="19" spans="2:22" ht="15.75" x14ac:dyDescent="0.25">
      <c r="B19" s="32"/>
      <c r="C19" s="26"/>
      <c r="D19" s="197"/>
      <c r="E19" s="197"/>
      <c r="F19" s="197"/>
      <c r="I19" s="41"/>
      <c r="J19" s="42" t="s">
        <v>18</v>
      </c>
      <c r="K19" s="43">
        <f>SUM($K57:K57)*SUM($K57:K57)*TAN(45*PI()/180)/2</f>
        <v>6.9749860499999997E-3</v>
      </c>
      <c r="L19" s="43">
        <f>SUM($K57:L57)*SUM($K57:L57)*TAN(45*PI()/180)/2-K19</f>
        <v>5.4249891500000001E-3</v>
      </c>
      <c r="M19" s="43">
        <f>SUM($K57:M57)*SUM($K57:M57)*TAN(45*PI()/180)/2-L19-K19</f>
        <v>0</v>
      </c>
      <c r="N19" s="44">
        <f t="shared" ref="N19:N22" si="2">SUM(K19:M19)</f>
        <v>1.23999752E-2</v>
      </c>
      <c r="O19" s="45"/>
      <c r="P19" s="46"/>
      <c r="R19" s="121" t="s">
        <v>76</v>
      </c>
      <c r="S19" s="119" t="s">
        <v>77</v>
      </c>
      <c r="T19" s="123" t="s">
        <v>78</v>
      </c>
      <c r="U19" s="47"/>
    </row>
    <row r="20" spans="2:22" ht="15.75" x14ac:dyDescent="0.25">
      <c r="B20" s="33" t="s">
        <v>15</v>
      </c>
      <c r="C20" s="26"/>
      <c r="D20" s="197"/>
      <c r="E20" s="197"/>
      <c r="F20" s="197"/>
      <c r="I20" s="41"/>
      <c r="J20" s="42" t="s">
        <v>19</v>
      </c>
      <c r="K20" s="43">
        <f>SUM($K58:K58)*SUM($K58:K58)*TAN(45*PI()/180)/2</f>
        <v>6.9749860499999997E-3</v>
      </c>
      <c r="L20" s="43">
        <f>SUM($K58:L58)*SUM($K58:L58)*TAN(45*PI()/180)/2-K20</f>
        <v>5.4249891500000001E-3</v>
      </c>
      <c r="M20" s="43">
        <f>SUM($K58:M58)*SUM($K58:M58)*TAN(45*PI()/180)/2-L20-K20</f>
        <v>0</v>
      </c>
      <c r="N20" s="44">
        <f t="shared" si="2"/>
        <v>1.23999752E-2</v>
      </c>
      <c r="O20" s="45"/>
      <c r="P20" s="46"/>
      <c r="R20" s="116" t="s">
        <v>18</v>
      </c>
      <c r="S20" s="120">
        <f>MROUND(SQRT(N19*2/TAN($C$16*PI()/180)),1/64)</f>
        <v>0.234375</v>
      </c>
      <c r="T20" s="124">
        <f t="shared" ref="T20:T23" si="3">N57*SIN(45*PI()/180)</f>
        <v>0.1113551759012575</v>
      </c>
      <c r="U20" s="47"/>
      <c r="V20" s="47"/>
    </row>
    <row r="21" spans="2:22" ht="15.75" x14ac:dyDescent="0.25">
      <c r="B21" s="27" t="s">
        <v>27</v>
      </c>
      <c r="C21" s="39">
        <f>MROUND(S25,1/64)</f>
        <v>0.109375</v>
      </c>
      <c r="D21" s="40" t="str">
        <f>IF(OR(B27=J19,B27=J20),"x and h are the same for this model","")</f>
        <v/>
      </c>
      <c r="E21" s="15"/>
      <c r="I21" s="41"/>
      <c r="J21" s="42" t="s">
        <v>20</v>
      </c>
      <c r="K21" s="43">
        <f>SUM($K59:K59)*SUM($K59:K59)*TAN(45*PI()/180)/2</f>
        <v>2.7899944199999999E-2</v>
      </c>
      <c r="L21" s="43">
        <f>SUM($K59:L59)*SUM($K59:L59)*TAN(45*PI()/180)/2-K21</f>
        <v>2.8093693812500001E-2</v>
      </c>
      <c r="M21" s="43">
        <f>SUM($K59:M59)*SUM($K59:M59)*TAN(45*PI()/180)/2-L21-K21</f>
        <v>2.1506206987500012E-2</v>
      </c>
      <c r="N21" s="44">
        <f t="shared" si="2"/>
        <v>7.7499845000000012E-2</v>
      </c>
      <c r="O21" s="45"/>
      <c r="P21" s="46"/>
      <c r="R21" s="116" t="s">
        <v>19</v>
      </c>
      <c r="S21" s="120">
        <f>MROUND(SQRT(N20*2/TAN($C$16*PI()/180)),1/64)</f>
        <v>0.234375</v>
      </c>
      <c r="T21" s="124">
        <f t="shared" si="3"/>
        <v>0.1113551759012575</v>
      </c>
      <c r="U21" s="47"/>
      <c r="V21" s="47"/>
    </row>
    <row r="22" spans="2:22" ht="15.75" x14ac:dyDescent="0.25">
      <c r="B22" s="48" t="s">
        <v>11</v>
      </c>
      <c r="C22" s="39">
        <f>MROUND(S26,1/64)</f>
        <v>0.28125</v>
      </c>
      <c r="I22" s="41"/>
      <c r="J22" s="42" t="s">
        <v>21</v>
      </c>
      <c r="K22" s="43">
        <f>SUM($K60:K60)*SUM($K60:K60)*TAN(45*PI()/180)/2</f>
        <v>6.2774874450000004E-2</v>
      </c>
      <c r="L22" s="43">
        <f>SUM($K60:L60)*SUM($K60:L60)*TAN(45*PI()/180)/2-K22</f>
        <v>5.4474641050499997E-2</v>
      </c>
      <c r="M22" s="43">
        <f>SUM($K60:M60)*SUM($K60:M60)*TAN(45*PI()/180)/2-L22-K22</f>
        <v>5.7125135749499983E-2</v>
      </c>
      <c r="N22" s="44">
        <f t="shared" si="2"/>
        <v>0.17437465124999998</v>
      </c>
      <c r="O22" s="45"/>
      <c r="P22" s="46"/>
      <c r="R22" s="116" t="s">
        <v>20</v>
      </c>
      <c r="S22" s="120">
        <f>MROUND(SQRT(N21*2/TAN($C$16*PI()/180)),1/64)</f>
        <v>0.578125</v>
      </c>
      <c r="T22" s="124">
        <f t="shared" si="3"/>
        <v>0.2783879397531438</v>
      </c>
      <c r="U22" s="47"/>
      <c r="V22" s="47"/>
    </row>
    <row r="23" spans="2:22" ht="16.5" thickBot="1" x14ac:dyDescent="0.3">
      <c r="B23" s="114" t="s">
        <v>73</v>
      </c>
      <c r="C23" s="115">
        <f>0.1*0.03937</f>
        <v>3.9370000000000004E-3</v>
      </c>
      <c r="I23" s="41"/>
      <c r="J23" s="45" t="s">
        <v>42</v>
      </c>
      <c r="K23" s="45"/>
      <c r="L23" s="45"/>
      <c r="M23" s="45"/>
      <c r="N23" s="45"/>
      <c r="O23" s="45"/>
      <c r="P23" s="46"/>
      <c r="R23" s="117" t="s">
        <v>21</v>
      </c>
      <c r="S23" s="122">
        <f>MROUND(SQRT(N22*2/TAN($C$16*PI()/180)),1/64)</f>
        <v>0.859375</v>
      </c>
      <c r="T23" s="125">
        <f t="shared" si="3"/>
        <v>0.41758190962971564</v>
      </c>
      <c r="V23" s="47"/>
    </row>
    <row r="24" spans="2:22" x14ac:dyDescent="0.25">
      <c r="B24" s="49"/>
      <c r="C24" s="50">
        <f>C17*SIN(C16*PI()/180)</f>
        <v>0.10565456543517486</v>
      </c>
      <c r="I24" s="41"/>
      <c r="J24" s="45"/>
      <c r="K24" s="45"/>
      <c r="L24" s="45"/>
      <c r="M24" s="45"/>
      <c r="N24" s="45"/>
      <c r="O24" s="45"/>
      <c r="P24" s="46"/>
    </row>
    <row r="25" spans="2:22" x14ac:dyDescent="0.25">
      <c r="B25" s="25" t="s">
        <v>44</v>
      </c>
      <c r="I25" s="41"/>
      <c r="J25" s="51" t="s">
        <v>37</v>
      </c>
      <c r="K25" s="45" t="s">
        <v>23</v>
      </c>
      <c r="L25" s="45" t="s">
        <v>24</v>
      </c>
      <c r="M25" s="45" t="s">
        <v>25</v>
      </c>
      <c r="N25" s="45" t="s">
        <v>26</v>
      </c>
      <c r="O25" s="45" t="s">
        <v>29</v>
      </c>
      <c r="P25" s="46"/>
      <c r="R25" s="27" t="s">
        <v>27</v>
      </c>
      <c r="S25" s="127">
        <f>IF(OR(B27=J19,B27=J20),C17,C17*SIN(C16*PI()/180))</f>
        <v>0.10565456543517486</v>
      </c>
    </row>
    <row r="26" spans="2:22" x14ac:dyDescent="0.25">
      <c r="B26" s="1" t="str">
        <f>IF(C15=P4,IF(OR(C24&gt;L3,C16&lt;&gt;J13),"Application not possible",J19),IF(C24&gt;L5,"Application not possible",IF(C24&gt;L4,J22, IF(C24&gt;L3,J21,IF(C16=45,J20,J21)))))</f>
        <v>KFM 15-10 F or KFMPB 15-10 F</v>
      </c>
      <c r="I26" s="41"/>
      <c r="J26" s="42" t="str">
        <f>J19</f>
        <v>KFM 18 LTX 3RF</v>
      </c>
      <c r="K26" s="43">
        <f>SUM($K63:K63)*SUM($K63:K63)*TAN(45*PI()/180)/2</f>
        <v>4.8437403125000007E-3</v>
      </c>
      <c r="L26" s="43">
        <f>SUM($K63:L63)*SUM($K63:L63)*TAN(45*PI()/180)/2-K26</f>
        <v>4.6499906999999969E-3</v>
      </c>
      <c r="M26" s="43">
        <f>SUM($K63:M63)*SUM($K63:M63)*TAN(45*PI()/180)/2-L26-K26</f>
        <v>2.9062441875000022E-3</v>
      </c>
      <c r="N26" s="44">
        <f>SUM($K63:N63)*SUM($K63:N63)*TAN(45*PI()/180)/2-M26-L26-K26</f>
        <v>0</v>
      </c>
      <c r="O26" s="44">
        <f t="shared" ref="O26:O29" si="4">SUM(K26:N26)</f>
        <v>1.23999752E-2</v>
      </c>
      <c r="P26" s="46"/>
      <c r="R26" s="48" t="s">
        <v>11</v>
      </c>
      <c r="S26" s="127">
        <f>C17/COS(C16*PI()/180)</f>
        <v>0.27584447974062293</v>
      </c>
    </row>
    <row r="27" spans="2:22" x14ac:dyDescent="0.25">
      <c r="B27" s="60" t="str">
        <f>IF(C18=J23,B26,C18)</f>
        <v>KFM 15-10 F or KFMPB 15-10 F</v>
      </c>
      <c r="I27" s="41"/>
      <c r="J27" s="42" t="str">
        <f>J20</f>
        <v>KFM 9-3 RF</v>
      </c>
      <c r="K27" s="43">
        <f>SUM($K64:K64)*SUM($K64:K64)*TAN(45*PI()/180)/2</f>
        <v>4.8437403125000007E-3</v>
      </c>
      <c r="L27" s="43">
        <f>SUM($K64:L64)*SUM($K64:L64)*TAN(45*PI()/180)/2-K27</f>
        <v>4.6499906999999969E-3</v>
      </c>
      <c r="M27" s="43">
        <f>SUM($K64:M64)*SUM($K64:M64)*TAN(45*PI()/180)/2-L27-K27</f>
        <v>2.9062441875000022E-3</v>
      </c>
      <c r="N27" s="44">
        <f>SUM($K64:N64)*SUM($K64:N64)*TAN(45*PI()/180)/2-M27-L27-K27</f>
        <v>0</v>
      </c>
      <c r="O27" s="44">
        <f t="shared" si="4"/>
        <v>1.23999752E-2</v>
      </c>
      <c r="P27" s="46"/>
      <c r="R27" s="114" t="s">
        <v>73</v>
      </c>
      <c r="S27" s="128">
        <f>0.1*0.03937</f>
        <v>3.9370000000000004E-3</v>
      </c>
    </row>
    <row r="28" spans="2:22" x14ac:dyDescent="0.25">
      <c r="B28" s="25" t="s">
        <v>17</v>
      </c>
      <c r="I28" s="41"/>
      <c r="J28" s="42" t="str">
        <f>J21</f>
        <v>KFM 15-10 F or KFMPB 15-10 F</v>
      </c>
      <c r="K28" s="43">
        <f>SUM($K65:K65)*SUM($K65:K65)*TAN(45*PI()/180)/2</f>
        <v>1.9374961250000003E-2</v>
      </c>
      <c r="L28" s="43">
        <f>SUM($K65:L65)*SUM($K65:L65)*TAN(45*PI()/180)/2-K28</f>
        <v>1.8599962799999988E-2</v>
      </c>
      <c r="M28" s="43">
        <f>SUM($K65:M65)*SUM($K65:M65)*TAN(45*PI()/180)/2-L28-K28</f>
        <v>2.1360894778125E-2</v>
      </c>
      <c r="N28" s="44">
        <f>SUM($K65:N65)*SUM($K65:N65)*TAN(45*PI()/180)/2-M28-L28-K28</f>
        <v>1.8164026171874993E-2</v>
      </c>
      <c r="O28" s="44">
        <f t="shared" si="4"/>
        <v>7.7499844999999984E-2</v>
      </c>
      <c r="P28" s="46"/>
    </row>
    <row r="29" spans="2:22" x14ac:dyDescent="0.25">
      <c r="B29" s="32" t="s">
        <v>12</v>
      </c>
      <c r="C29" s="39">
        <f>MROUND(MIN(C23*VLOOKUP(B27,J45:N48,2,FALSE),S25),1/64)</f>
        <v>0.109375</v>
      </c>
      <c r="D29" s="40">
        <f>ROUNDDOWN(C29/$N$4,0)</f>
        <v>27</v>
      </c>
      <c r="E29" s="1" t="s">
        <v>34</v>
      </c>
      <c r="I29" s="41"/>
      <c r="J29" s="42" t="str">
        <f>J22</f>
        <v>KFM 16-15 F</v>
      </c>
      <c r="K29" s="43">
        <f>SUM($K66:K66)*SUM($K66:K66)*TAN(45*PI()/180)/2</f>
        <v>4.9599900799999999E-2</v>
      </c>
      <c r="L29" s="43">
        <f>SUM($K66:L66)*SUM($K66:L66)*TAN(45*PI()/180)/2-K29</f>
        <v>4.4174911649999996E-2</v>
      </c>
      <c r="M29" s="43">
        <f>SUM($K66:M66)*SUM($K66:M66)*TAN(45*PI()/180)/2-L29-K29</f>
        <v>4.2285852928125006E-2</v>
      </c>
      <c r="N29" s="44">
        <f>SUM($K66:N66)*SUM($K66:N66)*TAN(45*PI()/180)/2-M29-L29-K29</f>
        <v>3.8313985871875039E-2</v>
      </c>
      <c r="O29" s="44">
        <f t="shared" si="4"/>
        <v>0.17437465125000004</v>
      </c>
      <c r="P29" s="46"/>
    </row>
    <row r="30" spans="2:22" x14ac:dyDescent="0.25">
      <c r="B30" s="32" t="s">
        <v>13</v>
      </c>
      <c r="C30" s="39">
        <f>MROUND(IF(C29&gt;=S25,0,MIN(S25-C29,C23*VLOOKUP(B27,J45:N48,3,FALSE))),1/64)</f>
        <v>0</v>
      </c>
      <c r="D30" s="40">
        <f>ROUNDDOWN(C30/$N$4,0)</f>
        <v>0</v>
      </c>
      <c r="E30" s="1" t="s">
        <v>34</v>
      </c>
      <c r="I30" s="41"/>
      <c r="J30" s="45"/>
      <c r="K30" s="45"/>
      <c r="L30" s="45"/>
      <c r="M30" s="45"/>
      <c r="N30" s="45"/>
      <c r="O30" s="45"/>
      <c r="P30" s="46"/>
    </row>
    <row r="31" spans="2:22" x14ac:dyDescent="0.25">
      <c r="B31" s="32" t="s">
        <v>14</v>
      </c>
      <c r="C31" s="39">
        <f>MROUND(IF((C30+C29)&gt;=S25,0,MIN(S25-C29-C30,VLOOKUP(B27,R20:T23,3,FALSE)-C30-C29)),1/64)</f>
        <v>0</v>
      </c>
      <c r="D31" s="40">
        <f>ROUNDDOWN(C31/$N$4,0)</f>
        <v>0</v>
      </c>
      <c r="E31" s="1" t="s">
        <v>34</v>
      </c>
      <c r="I31" s="41"/>
      <c r="J31" s="51" t="s">
        <v>22</v>
      </c>
      <c r="K31" s="52" t="s">
        <v>23</v>
      </c>
      <c r="L31" s="45" t="s">
        <v>24</v>
      </c>
      <c r="M31" s="45" t="s">
        <v>25</v>
      </c>
      <c r="N31" s="45" t="s">
        <v>29</v>
      </c>
      <c r="O31" s="45"/>
      <c r="P31" s="46"/>
    </row>
    <row r="32" spans="2:22" x14ac:dyDescent="0.25">
      <c r="C32" s="109"/>
      <c r="D32" s="110"/>
      <c r="I32" s="41"/>
      <c r="J32" s="42" t="s">
        <v>18</v>
      </c>
      <c r="K32" s="53">
        <f>SUM($K70:K70)*SUM($K70:K70)*TAN(45*PI()/180)/2</f>
        <v>4.4999999999999991</v>
      </c>
      <c r="L32" s="53">
        <f>SUM($K70:L70)*SUM($K70:L70)*TAN(45*PI()/180)/2-K32</f>
        <v>3.5</v>
      </c>
      <c r="M32" s="53">
        <f>SUM($K70:M70)*SUM($K70:M70)*TAN(45*PI()/180)/2-L32-K32</f>
        <v>0</v>
      </c>
      <c r="N32" s="53">
        <f t="shared" ref="N32:N35" si="5">SUM(K32:M32)</f>
        <v>7.9999999999999991</v>
      </c>
      <c r="O32" s="45"/>
      <c r="P32" s="46"/>
    </row>
    <row r="33" spans="2:16" x14ac:dyDescent="0.25">
      <c r="B33" s="25" t="s">
        <v>35</v>
      </c>
      <c r="I33" s="41"/>
      <c r="J33" s="42" t="s">
        <v>19</v>
      </c>
      <c r="K33" s="53">
        <f>SUM($K71:K71)*SUM($K71:K71)*TAN(45*PI()/180)/2</f>
        <v>4.4999999999999991</v>
      </c>
      <c r="L33" s="53">
        <f>SUM($K71:L71)*SUM($K71:L71)*TAN(45*PI()/180)/2-K33</f>
        <v>3.5</v>
      </c>
      <c r="M33" s="53">
        <f>SUM($K71:M71)*SUM($K71:M71)*TAN(45*PI()/180)/2-L33-K33</f>
        <v>0</v>
      </c>
      <c r="N33" s="53">
        <f t="shared" si="5"/>
        <v>7.9999999999999991</v>
      </c>
      <c r="O33" s="45"/>
      <c r="P33" s="46"/>
    </row>
    <row r="34" spans="2:16" x14ac:dyDescent="0.25">
      <c r="B34" s="32" t="s">
        <v>12</v>
      </c>
      <c r="C34" s="39">
        <f>MROUND(MIN(C23*VLOOKUP(B27,J51:O54,2,FALSE),S25),1/64)</f>
        <v>0.109375</v>
      </c>
      <c r="D34" s="40">
        <f t="shared" ref="D34:D37" si="6">ROUNDDOWN(C34/$N$4,0)</f>
        <v>27</v>
      </c>
      <c r="E34" s="1" t="s">
        <v>34</v>
      </c>
      <c r="I34" s="41"/>
      <c r="J34" s="42" t="s">
        <v>20</v>
      </c>
      <c r="K34" s="53">
        <f>SUM($K72:K72)*SUM($K72:K72)*TAN(45*PI()/180)/2</f>
        <v>17.999999999999996</v>
      </c>
      <c r="L34" s="53">
        <f>SUM($K72:L72)*SUM($K72:L72)*TAN(45*PI()/180)/2-K34</f>
        <v>18.124999999999996</v>
      </c>
      <c r="M34" s="53">
        <f>SUM($K72:M72)*SUM($K72:M72)*TAN(45*PI()/180)/2-L34-K34</f>
        <v>13.875</v>
      </c>
      <c r="N34" s="53">
        <f t="shared" si="5"/>
        <v>49.999999999999993</v>
      </c>
      <c r="O34" s="45"/>
      <c r="P34" s="46"/>
    </row>
    <row r="35" spans="2:16" x14ac:dyDescent="0.25">
      <c r="B35" s="32" t="s">
        <v>13</v>
      </c>
      <c r="C35" s="39">
        <f>MROUND(IF(C34&gt;=S25,0,MIN(S25-C34,C23*VLOOKUP(B27,J51:O54,3,FALSE))),1/64)</f>
        <v>0</v>
      </c>
      <c r="D35" s="40">
        <f t="shared" si="6"/>
        <v>0</v>
      </c>
      <c r="E35" s="1" t="s">
        <v>34</v>
      </c>
      <c r="I35" s="41"/>
      <c r="J35" s="42" t="s">
        <v>21</v>
      </c>
      <c r="K35" s="53">
        <f>SUM($K73:K73)*SUM($K73:K73)*TAN(45*PI()/180)/2</f>
        <v>40.499999999999993</v>
      </c>
      <c r="L35" s="53">
        <f>SUM($K73:L73)*SUM($K73:L73)*TAN(45*PI()/180)/2-K35</f>
        <v>35.145000000000003</v>
      </c>
      <c r="M35" s="53">
        <f>SUM($K73:M73)*SUM($K73:M73)*TAN(45*PI()/180)/2-L35-K35</f>
        <v>36.854999999999997</v>
      </c>
      <c r="N35" s="53">
        <f t="shared" si="5"/>
        <v>112.5</v>
      </c>
      <c r="O35" s="45"/>
      <c r="P35" s="46"/>
    </row>
    <row r="36" spans="2:16" x14ac:dyDescent="0.25">
      <c r="B36" s="32" t="s">
        <v>14</v>
      </c>
      <c r="C36" s="39">
        <f>MROUND(IF(C34+C35&gt;=S25,0,MIN(S25-C34-C35,C23*VLOOKUP(B27,J51:O54,4,FALSE))),1/64)</f>
        <v>0</v>
      </c>
      <c r="D36" s="40">
        <f t="shared" si="6"/>
        <v>0</v>
      </c>
      <c r="E36" s="1" t="s">
        <v>34</v>
      </c>
      <c r="I36" s="41"/>
      <c r="J36" s="45"/>
      <c r="K36" s="45"/>
      <c r="L36" s="45"/>
      <c r="M36" s="45"/>
      <c r="N36" s="45"/>
      <c r="O36" s="45"/>
      <c r="P36" s="46"/>
    </row>
    <row r="37" spans="2:16" x14ac:dyDescent="0.25">
      <c r="B37" s="32" t="s">
        <v>28</v>
      </c>
      <c r="C37" s="39">
        <f>MROUND(IF((C34+C35+C36)&gt;=S25,0,MIN(S25-C34-C35-C36,VLOOKUP(B27,R20:T23,3,FALSE)-C34-C35-C36)),1/64)</f>
        <v>0</v>
      </c>
      <c r="D37" s="40">
        <f t="shared" si="6"/>
        <v>0</v>
      </c>
      <c r="E37" s="1" t="s">
        <v>34</v>
      </c>
      <c r="I37" s="41"/>
      <c r="J37" s="51" t="s">
        <v>37</v>
      </c>
      <c r="K37" s="45" t="s">
        <v>23</v>
      </c>
      <c r="L37" s="45" t="s">
        <v>24</v>
      </c>
      <c r="M37" s="45" t="s">
        <v>25</v>
      </c>
      <c r="N37" s="45" t="s">
        <v>26</v>
      </c>
      <c r="O37" s="45" t="s">
        <v>29</v>
      </c>
      <c r="P37" s="46"/>
    </row>
    <row r="38" spans="2:16" x14ac:dyDescent="0.25">
      <c r="C38" s="109"/>
      <c r="D38" s="111"/>
      <c r="I38" s="41"/>
      <c r="J38" s="42" t="str">
        <f t="shared" ref="J38:J41" si="7">J32</f>
        <v>KFM 18 LTX 3RF</v>
      </c>
      <c r="K38" s="53">
        <f>SUM($K76:K76)*SUM($K76:K76)*TAN(45*PI()/180)/2</f>
        <v>3.1249999999999996</v>
      </c>
      <c r="L38" s="53">
        <f>SUM($K76:L76)*SUM($K76:L76)*TAN(45*PI()/180)/2-K38</f>
        <v>2.9999999999999996</v>
      </c>
      <c r="M38" s="53">
        <f>SUM($K76:M76)*SUM($K76:M76)*TAN(45*PI()/180)/2-L38-K38</f>
        <v>1.8750000000000004</v>
      </c>
      <c r="N38" s="53">
        <f>SUM($K76:N76)*SUM($K76:N76)*TAN(45*PI()/180)/2-M38-L38-K38</f>
        <v>0</v>
      </c>
      <c r="O38" s="53">
        <f t="shared" ref="O38:O41" si="8">SUM(K38:N38)</f>
        <v>8</v>
      </c>
      <c r="P38" s="46"/>
    </row>
    <row r="39" spans="2:16" x14ac:dyDescent="0.25">
      <c r="I39" s="41"/>
      <c r="J39" s="42" t="str">
        <f t="shared" si="7"/>
        <v>KFM 9-3 RF</v>
      </c>
      <c r="K39" s="53">
        <f>SUM($K77:K77)*SUM($K77:K77)*TAN(45*PI()/180)/2</f>
        <v>3.1249999999999996</v>
      </c>
      <c r="L39" s="53">
        <f>SUM($K77:L77)*SUM($K77:L77)*TAN(45*PI()/180)/2-K39</f>
        <v>2.9999999999999996</v>
      </c>
      <c r="M39" s="53">
        <f>SUM($K77:M77)*SUM($K77:M77)*TAN(45*PI()/180)/2-L39-K39</f>
        <v>1.8750000000000004</v>
      </c>
      <c r="N39" s="53">
        <f>SUM($K77:N77)*SUM($K77:N77)*TAN(45*PI()/180)/2-M39-L39-K39</f>
        <v>0</v>
      </c>
      <c r="O39" s="53">
        <f t="shared" si="8"/>
        <v>8</v>
      </c>
      <c r="P39" s="46"/>
    </row>
    <row r="40" spans="2:16" x14ac:dyDescent="0.25">
      <c r="B40" s="106"/>
      <c r="C40" s="112"/>
      <c r="D40" s="106"/>
      <c r="E40" s="106"/>
      <c r="F40" s="106"/>
      <c r="I40" s="41"/>
      <c r="J40" s="42" t="str">
        <f t="shared" si="7"/>
        <v>KFM 15-10 F or KFMPB 15-10 F</v>
      </c>
      <c r="K40" s="53">
        <f>SUM($K78:K78)*SUM($K78:K78)*TAN(45*PI()/180)/2</f>
        <v>12.499999999999998</v>
      </c>
      <c r="L40" s="53">
        <f>SUM($K78:L78)*SUM($K78:L78)*TAN(45*PI()/180)/2-K40</f>
        <v>11.999999999999998</v>
      </c>
      <c r="M40" s="53">
        <f>SUM($K78:M78)*SUM($K78:M78)*TAN(45*PI()/180)/2-L40-K40</f>
        <v>13.781249999999995</v>
      </c>
      <c r="N40" s="53">
        <f>SUM($K78:N78)*SUM($K78:N78)*TAN(45*PI()/180)/2-M40-L40-K40</f>
        <v>11.718750000000002</v>
      </c>
      <c r="O40" s="53">
        <f t="shared" si="8"/>
        <v>49.999999999999993</v>
      </c>
      <c r="P40" s="46"/>
    </row>
    <row r="41" spans="2:16" x14ac:dyDescent="0.25">
      <c r="B41" s="106"/>
      <c r="C41" s="112"/>
      <c r="D41" s="106"/>
      <c r="E41" s="106"/>
      <c r="F41" s="106"/>
      <c r="I41" s="41"/>
      <c r="J41" s="42" t="str">
        <f t="shared" si="7"/>
        <v>KFM 16-15 F</v>
      </c>
      <c r="K41" s="53">
        <f>SUM($K79:K79)*SUM($K79:K79)*TAN(45*PI()/180)/2</f>
        <v>31.999999999999996</v>
      </c>
      <c r="L41" s="53">
        <f>SUM($K79:L79)*SUM($K79:L79)*TAN(45*PI()/180)/2-K41</f>
        <v>28.499999999999996</v>
      </c>
      <c r="M41" s="53">
        <f>SUM($K79:M79)*SUM($K79:M79)*TAN(45*PI()/180)/2-L41-K41</f>
        <v>27.281249999999989</v>
      </c>
      <c r="N41" s="53">
        <f>SUM($K79:N79)*SUM($K79:N79)*TAN(45*PI()/180)/2-M41-L41-K41</f>
        <v>24.718750000000004</v>
      </c>
      <c r="O41" s="53">
        <f t="shared" si="8"/>
        <v>112.49999999999999</v>
      </c>
      <c r="P41" s="46"/>
    </row>
    <row r="42" spans="2:16" ht="15.75" thickBot="1" x14ac:dyDescent="0.3">
      <c r="B42" s="107"/>
      <c r="C42" s="112"/>
      <c r="D42" s="108"/>
      <c r="E42" s="106"/>
      <c r="F42" s="106"/>
      <c r="I42" s="54"/>
      <c r="J42" s="55"/>
      <c r="K42" s="55"/>
      <c r="L42" s="55"/>
      <c r="M42" s="55"/>
      <c r="N42" s="55"/>
      <c r="O42" s="55"/>
      <c r="P42" s="56"/>
    </row>
    <row r="43" spans="2:16" x14ac:dyDescent="0.25">
      <c r="B43" s="108"/>
      <c r="C43" s="109"/>
      <c r="D43" s="110"/>
      <c r="E43" s="106"/>
      <c r="F43" s="106"/>
      <c r="I43" s="41"/>
      <c r="J43" s="45"/>
      <c r="K43" s="45"/>
      <c r="L43" s="45"/>
      <c r="M43" s="45"/>
      <c r="N43" s="45"/>
      <c r="O43" s="45"/>
      <c r="P43" s="46"/>
    </row>
    <row r="44" spans="2:16" x14ac:dyDescent="0.25">
      <c r="B44" s="106"/>
      <c r="C44" s="112"/>
      <c r="D44" s="106"/>
      <c r="E44" s="106"/>
      <c r="F44" s="106"/>
      <c r="I44" s="41"/>
      <c r="J44" s="51" t="s">
        <v>33</v>
      </c>
      <c r="K44" s="52" t="s">
        <v>23</v>
      </c>
      <c r="L44" s="45" t="s">
        <v>24</v>
      </c>
      <c r="M44" s="45" t="s">
        <v>25</v>
      </c>
      <c r="N44" s="45" t="s">
        <v>29</v>
      </c>
      <c r="O44" s="45"/>
      <c r="P44" s="46"/>
    </row>
    <row r="45" spans="2:16" x14ac:dyDescent="0.25">
      <c r="B45" s="106"/>
      <c r="C45" s="112"/>
      <c r="D45" s="106"/>
      <c r="E45" s="106"/>
      <c r="F45" s="106"/>
      <c r="I45" s="41"/>
      <c r="J45" s="42" t="s">
        <v>18</v>
      </c>
      <c r="K45" s="113">
        <f t="shared" ref="K45:M46" si="9">ROUNDDOWN(K70*10,0)</f>
        <v>30</v>
      </c>
      <c r="L45" s="113">
        <f t="shared" si="9"/>
        <v>10</v>
      </c>
      <c r="M45" s="113">
        <f t="shared" si="9"/>
        <v>0</v>
      </c>
      <c r="N45" s="113">
        <f>SUM(K45:M45)</f>
        <v>40</v>
      </c>
      <c r="O45" s="45"/>
      <c r="P45" s="46"/>
    </row>
    <row r="46" spans="2:16" x14ac:dyDescent="0.25">
      <c r="B46" s="106"/>
      <c r="C46" s="112"/>
      <c r="D46" s="106"/>
      <c r="E46" s="106"/>
      <c r="F46" s="106"/>
      <c r="I46" s="41"/>
      <c r="J46" s="42" t="s">
        <v>19</v>
      </c>
      <c r="K46" s="113">
        <f t="shared" si="9"/>
        <v>30</v>
      </c>
      <c r="L46" s="113">
        <f t="shared" si="9"/>
        <v>10</v>
      </c>
      <c r="M46" s="113">
        <f t="shared" si="9"/>
        <v>0</v>
      </c>
      <c r="N46" s="113">
        <f>SUM(K46:M46)</f>
        <v>40</v>
      </c>
      <c r="O46" s="45"/>
      <c r="P46" s="46"/>
    </row>
    <row r="47" spans="2:16" x14ac:dyDescent="0.25">
      <c r="B47" s="106"/>
      <c r="C47" s="112"/>
      <c r="D47" s="106"/>
      <c r="E47" s="106"/>
      <c r="F47" s="106"/>
      <c r="I47" s="41"/>
      <c r="J47" s="42" t="s">
        <v>20</v>
      </c>
      <c r="K47" s="113">
        <f t="shared" ref="K47:M48" si="10">ROUNDDOWN(K72*10*SIN(45*PI()/180),0)</f>
        <v>42</v>
      </c>
      <c r="L47" s="113">
        <f t="shared" si="10"/>
        <v>17</v>
      </c>
      <c r="M47" s="113">
        <f t="shared" si="10"/>
        <v>10</v>
      </c>
      <c r="N47" s="113">
        <f t="shared" ref="N47" si="11">SUM(K47:M47)</f>
        <v>69</v>
      </c>
      <c r="O47" s="45"/>
      <c r="P47" s="46"/>
    </row>
    <row r="48" spans="2:16" x14ac:dyDescent="0.25">
      <c r="B48" s="106"/>
      <c r="C48" s="112"/>
      <c r="D48" s="106"/>
      <c r="E48" s="106"/>
      <c r="F48" s="106"/>
      <c r="I48" s="41"/>
      <c r="J48" s="42" t="s">
        <v>21</v>
      </c>
      <c r="K48" s="113">
        <f>ROUNDDOWN(K73*10*SIN(45*PI()/180),0)</f>
        <v>63</v>
      </c>
      <c r="L48" s="113">
        <f t="shared" si="10"/>
        <v>23</v>
      </c>
      <c r="M48" s="113">
        <f t="shared" si="10"/>
        <v>19</v>
      </c>
      <c r="N48" s="113">
        <f>SUM(K48:M48)+8</f>
        <v>113</v>
      </c>
      <c r="O48" s="45"/>
      <c r="P48" s="46"/>
    </row>
    <row r="49" spans="2:16" x14ac:dyDescent="0.25">
      <c r="B49" s="106"/>
      <c r="C49" s="109"/>
      <c r="D49" s="111"/>
      <c r="E49" s="106"/>
      <c r="F49" s="106"/>
      <c r="I49" s="41"/>
      <c r="J49" s="45" t="s">
        <v>42</v>
      </c>
      <c r="K49" s="45"/>
      <c r="L49" s="45"/>
      <c r="M49" s="45"/>
      <c r="N49" s="45"/>
      <c r="O49" s="45"/>
      <c r="P49" s="46"/>
    </row>
    <row r="50" spans="2:16" x14ac:dyDescent="0.25">
      <c r="I50" s="41"/>
      <c r="J50" s="51" t="s">
        <v>38</v>
      </c>
      <c r="K50" s="45" t="s">
        <v>23</v>
      </c>
      <c r="L50" s="45" t="s">
        <v>24</v>
      </c>
      <c r="M50" s="45" t="s">
        <v>25</v>
      </c>
      <c r="N50" s="45" t="s">
        <v>26</v>
      </c>
      <c r="O50" s="45" t="s">
        <v>29</v>
      </c>
      <c r="P50" s="46"/>
    </row>
    <row r="51" spans="2:16" x14ac:dyDescent="0.25">
      <c r="I51" s="41"/>
      <c r="J51" s="42" t="str">
        <f t="shared" ref="J51:J54" si="12">J45</f>
        <v>KFM 18 LTX 3RF</v>
      </c>
      <c r="K51" s="113">
        <f t="shared" ref="K51:N52" si="13">ROUNDDOWN(K76*10,0)</f>
        <v>25</v>
      </c>
      <c r="L51" s="113">
        <f t="shared" si="13"/>
        <v>10</v>
      </c>
      <c r="M51" s="113">
        <f t="shared" si="13"/>
        <v>5</v>
      </c>
      <c r="N51" s="113">
        <f t="shared" si="13"/>
        <v>0</v>
      </c>
      <c r="O51" s="113">
        <f>SUM(K51:N51)</f>
        <v>40</v>
      </c>
      <c r="P51" s="46"/>
    </row>
    <row r="52" spans="2:16" x14ac:dyDescent="0.25">
      <c r="I52" s="41"/>
      <c r="J52" s="42" t="str">
        <f t="shared" si="12"/>
        <v>KFM 9-3 RF</v>
      </c>
      <c r="K52" s="113">
        <f t="shared" si="13"/>
        <v>25</v>
      </c>
      <c r="L52" s="113">
        <f t="shared" si="13"/>
        <v>10</v>
      </c>
      <c r="M52" s="113">
        <f t="shared" si="13"/>
        <v>5</v>
      </c>
      <c r="N52" s="113">
        <f t="shared" si="13"/>
        <v>0</v>
      </c>
      <c r="O52" s="113">
        <f>SUM(K52:N52)</f>
        <v>40</v>
      </c>
      <c r="P52" s="46"/>
    </row>
    <row r="53" spans="2:16" x14ac:dyDescent="0.25">
      <c r="I53" s="41"/>
      <c r="J53" s="42" t="str">
        <f t="shared" si="12"/>
        <v>KFM 15-10 F or KFMPB 15-10 F</v>
      </c>
      <c r="K53" s="113">
        <f t="shared" ref="K53:N54" si="14">ROUNDDOWN(K78*10*SIN(45*PI()/180),0)</f>
        <v>35</v>
      </c>
      <c r="L53" s="113">
        <f t="shared" si="14"/>
        <v>14</v>
      </c>
      <c r="M53" s="113">
        <f t="shared" si="14"/>
        <v>12</v>
      </c>
      <c r="N53" s="113">
        <f t="shared" si="14"/>
        <v>8</v>
      </c>
      <c r="O53" s="113">
        <f t="shared" ref="O53:O54" si="15">SUM(K53:N53)</f>
        <v>69</v>
      </c>
      <c r="P53" s="46"/>
    </row>
    <row r="54" spans="2:16" x14ac:dyDescent="0.25">
      <c r="I54" s="41"/>
      <c r="J54" s="42" t="str">
        <f t="shared" si="12"/>
        <v>KFM 16-15 F</v>
      </c>
      <c r="K54" s="113">
        <f t="shared" si="14"/>
        <v>56</v>
      </c>
      <c r="L54" s="113">
        <f t="shared" si="14"/>
        <v>21</v>
      </c>
      <c r="M54" s="113">
        <f t="shared" si="14"/>
        <v>15</v>
      </c>
      <c r="N54" s="113">
        <f t="shared" si="14"/>
        <v>12</v>
      </c>
      <c r="O54" s="113">
        <f t="shared" si="15"/>
        <v>104</v>
      </c>
      <c r="P54" s="46"/>
    </row>
    <row r="55" spans="2:16" ht="15.75" thickBot="1" x14ac:dyDescent="0.3">
      <c r="I55" s="41"/>
      <c r="J55" s="45"/>
      <c r="K55" s="45"/>
      <c r="L55" s="45"/>
      <c r="M55" s="45"/>
      <c r="N55" s="45"/>
      <c r="O55" s="45"/>
      <c r="P55" s="46"/>
    </row>
    <row r="56" spans="2:16" x14ac:dyDescent="0.25">
      <c r="I56" s="34"/>
      <c r="J56" s="35" t="s">
        <v>33</v>
      </c>
      <c r="K56" s="36" t="s">
        <v>23</v>
      </c>
      <c r="L56" s="37" t="s">
        <v>24</v>
      </c>
      <c r="M56" s="37" t="s">
        <v>25</v>
      </c>
      <c r="N56" s="37" t="s">
        <v>29</v>
      </c>
      <c r="O56" s="37"/>
      <c r="P56" s="38"/>
    </row>
    <row r="57" spans="2:16" x14ac:dyDescent="0.25">
      <c r="I57" s="41"/>
      <c r="J57" s="42" t="s">
        <v>18</v>
      </c>
      <c r="K57" s="57">
        <f t="shared" ref="K57:M59" si="16">K70*0.03937</f>
        <v>0.11811000000000001</v>
      </c>
      <c r="L57" s="57">
        <f t="shared" si="16"/>
        <v>3.9370000000000002E-2</v>
      </c>
      <c r="M57" s="57">
        <f t="shared" si="16"/>
        <v>0</v>
      </c>
      <c r="N57" s="58">
        <f t="shared" ref="N57:N60" si="17">SUM(K57:M57)</f>
        <v>0.15748000000000001</v>
      </c>
      <c r="O57" s="45"/>
      <c r="P57" s="46"/>
    </row>
    <row r="58" spans="2:16" x14ac:dyDescent="0.25">
      <c r="I58" s="41"/>
      <c r="J58" s="42" t="s">
        <v>19</v>
      </c>
      <c r="K58" s="57">
        <f t="shared" si="16"/>
        <v>0.11811000000000001</v>
      </c>
      <c r="L58" s="57">
        <f t="shared" si="16"/>
        <v>3.9370000000000002E-2</v>
      </c>
      <c r="M58" s="57">
        <f t="shared" si="16"/>
        <v>0</v>
      </c>
      <c r="N58" s="58">
        <f t="shared" si="17"/>
        <v>0.15748000000000001</v>
      </c>
      <c r="O58" s="45"/>
      <c r="P58" s="46"/>
    </row>
    <row r="59" spans="2:16" x14ac:dyDescent="0.25">
      <c r="I59" s="41"/>
      <c r="J59" s="42" t="s">
        <v>20</v>
      </c>
      <c r="K59" s="57">
        <f t="shared" si="16"/>
        <v>0.23622000000000001</v>
      </c>
      <c r="L59" s="57">
        <f t="shared" si="16"/>
        <v>9.8425000000000012E-2</v>
      </c>
      <c r="M59" s="57">
        <f t="shared" si="16"/>
        <v>5.9055000000000003E-2</v>
      </c>
      <c r="N59" s="58">
        <f t="shared" si="17"/>
        <v>0.39370000000000005</v>
      </c>
      <c r="O59" s="45"/>
      <c r="P59" s="46"/>
    </row>
    <row r="60" spans="2:16" x14ac:dyDescent="0.25">
      <c r="I60" s="41"/>
      <c r="J60" s="42" t="s">
        <v>21</v>
      </c>
      <c r="K60" s="57">
        <f>K73*0.03937</f>
        <v>0.35433000000000003</v>
      </c>
      <c r="L60" s="57">
        <f>L73*0.03937</f>
        <v>0.12992100000000001</v>
      </c>
      <c r="M60" s="57">
        <f>M73*0.03937</f>
        <v>0.10629900000000002</v>
      </c>
      <c r="N60" s="58">
        <f t="shared" si="17"/>
        <v>0.59055000000000002</v>
      </c>
      <c r="O60" s="45"/>
      <c r="P60" s="46"/>
    </row>
    <row r="61" spans="2:16" x14ac:dyDescent="0.25">
      <c r="I61" s="41"/>
      <c r="J61" s="45"/>
      <c r="K61" s="45"/>
      <c r="L61" s="45"/>
      <c r="M61" s="45"/>
      <c r="N61" s="45"/>
      <c r="O61" s="45"/>
      <c r="P61" s="46"/>
    </row>
    <row r="62" spans="2:16" x14ac:dyDescent="0.25">
      <c r="I62" s="41"/>
      <c r="J62" s="51" t="s">
        <v>38</v>
      </c>
      <c r="K62" s="45" t="s">
        <v>23</v>
      </c>
      <c r="L62" s="45" t="s">
        <v>24</v>
      </c>
      <c r="M62" s="45" t="s">
        <v>25</v>
      </c>
      <c r="N62" s="45" t="s">
        <v>26</v>
      </c>
      <c r="O62" s="45" t="s">
        <v>29</v>
      </c>
      <c r="P62" s="46"/>
    </row>
    <row r="63" spans="2:16" x14ac:dyDescent="0.25">
      <c r="I63" s="41"/>
      <c r="J63" s="42" t="str">
        <f t="shared" ref="J63:J66" si="18">J57</f>
        <v>KFM 18 LTX 3RF</v>
      </c>
      <c r="K63" s="57">
        <f t="shared" ref="K63:N66" si="19">K76*0.03937</f>
        <v>9.8425000000000012E-2</v>
      </c>
      <c r="L63" s="57">
        <f t="shared" si="19"/>
        <v>3.9370000000000002E-2</v>
      </c>
      <c r="M63" s="57">
        <f t="shared" si="19"/>
        <v>1.9685000000000001E-2</v>
      </c>
      <c r="N63" s="57">
        <f t="shared" si="19"/>
        <v>0</v>
      </c>
      <c r="O63" s="58">
        <f t="shared" ref="O63:O66" si="20">SUM(K63:N63)</f>
        <v>0.15748000000000001</v>
      </c>
      <c r="P63" s="46"/>
    </row>
    <row r="64" spans="2:16" x14ac:dyDescent="0.25">
      <c r="I64" s="41"/>
      <c r="J64" s="42" t="str">
        <f t="shared" si="18"/>
        <v>KFM 9-3 RF</v>
      </c>
      <c r="K64" s="57">
        <f t="shared" si="19"/>
        <v>9.8425000000000012E-2</v>
      </c>
      <c r="L64" s="57">
        <f t="shared" si="19"/>
        <v>3.9370000000000002E-2</v>
      </c>
      <c r="M64" s="57">
        <f t="shared" si="19"/>
        <v>1.9685000000000001E-2</v>
      </c>
      <c r="N64" s="57">
        <f t="shared" si="19"/>
        <v>0</v>
      </c>
      <c r="O64" s="58">
        <f t="shared" si="20"/>
        <v>0.15748000000000001</v>
      </c>
      <c r="P64" s="46"/>
    </row>
    <row r="65" spans="9:16" x14ac:dyDescent="0.25">
      <c r="I65" s="41"/>
      <c r="J65" s="42" t="str">
        <f t="shared" si="18"/>
        <v>KFM 15-10 F or KFMPB 15-10 F</v>
      </c>
      <c r="K65" s="57">
        <f t="shared" si="19"/>
        <v>0.19685000000000002</v>
      </c>
      <c r="L65" s="57">
        <f t="shared" si="19"/>
        <v>7.8740000000000004E-2</v>
      </c>
      <c r="M65" s="57">
        <f t="shared" si="19"/>
        <v>6.88975E-2</v>
      </c>
      <c r="N65" s="57">
        <f t="shared" si="19"/>
        <v>4.9212500000000006E-2</v>
      </c>
      <c r="O65" s="58">
        <f t="shared" si="20"/>
        <v>0.39369999999999999</v>
      </c>
      <c r="P65" s="46"/>
    </row>
    <row r="66" spans="9:16" x14ac:dyDescent="0.25">
      <c r="I66" s="41"/>
      <c r="J66" s="42" t="str">
        <f t="shared" si="18"/>
        <v>KFM 16-15 F</v>
      </c>
      <c r="K66" s="57">
        <f>K79*0.03937</f>
        <v>0.31496000000000002</v>
      </c>
      <c r="L66" s="57">
        <f>L79*0.03937</f>
        <v>0.11811000000000001</v>
      </c>
      <c r="M66" s="57">
        <f>M79*0.03937</f>
        <v>8.8582500000000008E-2</v>
      </c>
      <c r="N66" s="57">
        <f t="shared" si="19"/>
        <v>6.88975E-2</v>
      </c>
      <c r="O66" s="58">
        <f t="shared" si="20"/>
        <v>0.59055000000000013</v>
      </c>
      <c r="P66" s="46"/>
    </row>
    <row r="67" spans="9:16" x14ac:dyDescent="0.25">
      <c r="I67" s="41"/>
      <c r="J67" s="45"/>
      <c r="K67" s="45"/>
      <c r="L67" s="45"/>
      <c r="M67" s="45"/>
      <c r="N67" s="45"/>
      <c r="O67" s="45"/>
      <c r="P67" s="46"/>
    </row>
    <row r="68" spans="9:16" x14ac:dyDescent="0.25">
      <c r="I68" s="41"/>
      <c r="J68" s="45"/>
      <c r="K68" s="45"/>
      <c r="L68" s="45"/>
      <c r="M68" s="45"/>
      <c r="N68" s="45"/>
      <c r="O68" s="45"/>
      <c r="P68" s="46"/>
    </row>
    <row r="69" spans="9:16" x14ac:dyDescent="0.25">
      <c r="I69" s="41"/>
      <c r="J69" s="51" t="s">
        <v>33</v>
      </c>
      <c r="K69" s="52" t="s">
        <v>23</v>
      </c>
      <c r="L69" s="45" t="s">
        <v>24</v>
      </c>
      <c r="M69" s="45" t="s">
        <v>25</v>
      </c>
      <c r="N69" s="45" t="s">
        <v>29</v>
      </c>
      <c r="O69" s="45"/>
      <c r="P69" s="46"/>
    </row>
    <row r="70" spans="9:16" x14ac:dyDescent="0.25">
      <c r="I70" s="41"/>
      <c r="J70" s="42" t="s">
        <v>18</v>
      </c>
      <c r="K70" s="59">
        <v>3</v>
      </c>
      <c r="L70" s="59">
        <v>1</v>
      </c>
      <c r="M70" s="59"/>
      <c r="N70" s="59">
        <f>SUM(K70:M70)</f>
        <v>4</v>
      </c>
      <c r="O70" s="45"/>
      <c r="P70" s="46"/>
    </row>
    <row r="71" spans="9:16" x14ac:dyDescent="0.25">
      <c r="I71" s="41"/>
      <c r="J71" s="42" t="s">
        <v>19</v>
      </c>
      <c r="K71" s="59">
        <v>3</v>
      </c>
      <c r="L71" s="59">
        <v>1</v>
      </c>
      <c r="M71" s="59"/>
      <c r="N71" s="59">
        <f>SUM(K71:M71)</f>
        <v>4</v>
      </c>
      <c r="O71" s="45"/>
      <c r="P71" s="46"/>
    </row>
    <row r="72" spans="9:16" x14ac:dyDescent="0.25">
      <c r="I72" s="41"/>
      <c r="J72" s="42" t="s">
        <v>20</v>
      </c>
      <c r="K72" s="59">
        <v>6</v>
      </c>
      <c r="L72" s="59">
        <v>2.5</v>
      </c>
      <c r="M72" s="59">
        <v>1.5</v>
      </c>
      <c r="N72" s="59">
        <f t="shared" ref="N72:N73" si="21">SUM(K72:M72)</f>
        <v>10</v>
      </c>
      <c r="O72" s="45"/>
      <c r="P72" s="46"/>
    </row>
    <row r="73" spans="9:16" x14ac:dyDescent="0.25">
      <c r="I73" s="41"/>
      <c r="J73" s="42" t="s">
        <v>21</v>
      </c>
      <c r="K73" s="59">
        <v>9</v>
      </c>
      <c r="L73" s="59">
        <v>3.3</v>
      </c>
      <c r="M73" s="59">
        <v>2.7</v>
      </c>
      <c r="N73" s="59">
        <f t="shared" si="21"/>
        <v>15</v>
      </c>
      <c r="O73" s="45"/>
      <c r="P73" s="46"/>
    </row>
    <row r="74" spans="9:16" x14ac:dyDescent="0.25">
      <c r="I74" s="41"/>
      <c r="J74" s="45"/>
      <c r="K74" s="45"/>
      <c r="L74" s="45"/>
      <c r="M74" s="45"/>
      <c r="N74" s="45"/>
      <c r="O74" s="45"/>
      <c r="P74" s="46"/>
    </row>
    <row r="75" spans="9:16" x14ac:dyDescent="0.25">
      <c r="I75" s="41"/>
      <c r="J75" s="51" t="s">
        <v>38</v>
      </c>
      <c r="K75" s="45" t="s">
        <v>23</v>
      </c>
      <c r="L75" s="45" t="s">
        <v>24</v>
      </c>
      <c r="M75" s="45" t="s">
        <v>25</v>
      </c>
      <c r="N75" s="45" t="s">
        <v>26</v>
      </c>
      <c r="O75" s="45" t="s">
        <v>29</v>
      </c>
      <c r="P75" s="46"/>
    </row>
    <row r="76" spans="9:16" x14ac:dyDescent="0.25">
      <c r="I76" s="41"/>
      <c r="J76" s="42" t="str">
        <f t="shared" ref="J76:J79" si="22">J70</f>
        <v>KFM 18 LTX 3RF</v>
      </c>
      <c r="K76" s="59">
        <v>2.5</v>
      </c>
      <c r="L76" s="59">
        <v>1</v>
      </c>
      <c r="M76" s="59">
        <v>0.5</v>
      </c>
      <c r="N76" s="59"/>
      <c r="O76" s="59">
        <f>SUM(K76:N76)</f>
        <v>4</v>
      </c>
      <c r="P76" s="46"/>
    </row>
    <row r="77" spans="9:16" x14ac:dyDescent="0.25">
      <c r="I77" s="41"/>
      <c r="J77" s="42" t="str">
        <f t="shared" si="22"/>
        <v>KFM 9-3 RF</v>
      </c>
      <c r="K77" s="59">
        <v>2.5</v>
      </c>
      <c r="L77" s="59">
        <v>1</v>
      </c>
      <c r="M77" s="59">
        <v>0.5</v>
      </c>
      <c r="N77" s="59"/>
      <c r="O77" s="59">
        <f>SUM(K77:N77)</f>
        <v>4</v>
      </c>
      <c r="P77" s="46"/>
    </row>
    <row r="78" spans="9:16" x14ac:dyDescent="0.25">
      <c r="I78" s="41"/>
      <c r="J78" s="42" t="str">
        <f t="shared" si="22"/>
        <v>KFM 15-10 F or KFMPB 15-10 F</v>
      </c>
      <c r="K78" s="59">
        <v>5</v>
      </c>
      <c r="L78" s="59">
        <v>2</v>
      </c>
      <c r="M78" s="59">
        <v>1.75</v>
      </c>
      <c r="N78" s="59">
        <v>1.25</v>
      </c>
      <c r="O78" s="59">
        <f t="shared" ref="O78:O79" si="23">SUM(K78:N78)</f>
        <v>10</v>
      </c>
      <c r="P78" s="46"/>
    </row>
    <row r="79" spans="9:16" x14ac:dyDescent="0.25">
      <c r="I79" s="41"/>
      <c r="J79" s="42" t="str">
        <f t="shared" si="22"/>
        <v>KFM 16-15 F</v>
      </c>
      <c r="K79" s="59">
        <v>8</v>
      </c>
      <c r="L79" s="59">
        <v>3</v>
      </c>
      <c r="M79" s="59">
        <v>2.25</v>
      </c>
      <c r="N79" s="59">
        <v>1.75</v>
      </c>
      <c r="O79" s="59">
        <f t="shared" si="23"/>
        <v>15</v>
      </c>
      <c r="P79" s="46"/>
    </row>
    <row r="80" spans="9:16" ht="15.75" thickBot="1" x14ac:dyDescent="0.3">
      <c r="I80" s="54"/>
      <c r="J80" s="55"/>
      <c r="K80" s="55"/>
      <c r="L80" s="55"/>
      <c r="M80" s="55"/>
      <c r="N80" s="55"/>
      <c r="O80" s="55"/>
      <c r="P80" s="56"/>
    </row>
  </sheetData>
  <sheetProtection algorithmName="SHA-512" hashValue="HuuLUpFgWyF4BGJKQ6IeM9n2AbZPiCzojr/SNRaJc1gsLh64Srv7+cZSL1q8eJWN5PEljMJ8hte/C3OyL8smjw==" saltValue="xskwefI/8wN52sPVwEtVLg==" spinCount="100000" sheet="1" objects="1" scenarios="1"/>
  <mergeCells count="5">
    <mergeCell ref="I7:J8"/>
    <mergeCell ref="K7:U7"/>
    <mergeCell ref="I9:I15"/>
    <mergeCell ref="D18:F20"/>
    <mergeCell ref="R18:T18"/>
  </mergeCells>
  <conditionalFormatting sqref="K9:U15">
    <cfRule type="cellIs" dxfId="44" priority="17" operator="between">
      <formula>0</formula>
      <formula>$L$4</formula>
    </cfRule>
    <cfRule type="cellIs" dxfId="43" priority="18" operator="between">
      <formula>$L$4</formula>
      <formula>$L$5</formula>
    </cfRule>
    <cfRule type="cellIs" dxfId="42" priority="19" operator="greaterThan">
      <formula>$L$5</formula>
    </cfRule>
  </conditionalFormatting>
  <conditionalFormatting sqref="K13:U13">
    <cfRule type="cellIs" dxfId="41" priority="16" operator="lessThanOrEqual">
      <formula>$L$3</formula>
    </cfRule>
  </conditionalFormatting>
  <conditionalFormatting sqref="B30:E30">
    <cfRule type="expression" dxfId="40" priority="15">
      <formula>$C$30=0</formula>
    </cfRule>
  </conditionalFormatting>
  <conditionalFormatting sqref="B31:E31">
    <cfRule type="expression" dxfId="39" priority="14">
      <formula>$C$31=0</formula>
    </cfRule>
  </conditionalFormatting>
  <conditionalFormatting sqref="B36:E36">
    <cfRule type="expression" dxfId="38" priority="13">
      <formula>$C$36=0</formula>
    </cfRule>
  </conditionalFormatting>
  <conditionalFormatting sqref="B37:E37">
    <cfRule type="expression" dxfId="37" priority="12">
      <formula>$C$37=0</formula>
    </cfRule>
  </conditionalFormatting>
  <conditionalFormatting sqref="B35:E35 C44:C48">
    <cfRule type="expression" dxfId="36" priority="11">
      <formula>$C$35=0</formula>
    </cfRule>
  </conditionalFormatting>
  <conditionalFormatting sqref="B29:F31 B34:F37 C44:C48">
    <cfRule type="expression" dxfId="35" priority="10">
      <formula xml:space="preserve"> $B$26="Application not possible"</formula>
    </cfRule>
  </conditionalFormatting>
  <conditionalFormatting sqref="B42">
    <cfRule type="expression" dxfId="34" priority="9">
      <formula xml:space="preserve"> $B$26="Application not possible"</formula>
    </cfRule>
  </conditionalFormatting>
  <conditionalFormatting sqref="B27:F37">
    <cfRule type="expression" dxfId="33" priority="8">
      <formula>$D$18&lt;&gt;""</formula>
    </cfRule>
  </conditionalFormatting>
  <conditionalFormatting sqref="C38:D38">
    <cfRule type="expression" dxfId="32" priority="7">
      <formula>$D$18&lt;&gt;""</formula>
    </cfRule>
  </conditionalFormatting>
  <conditionalFormatting sqref="C40:C42">
    <cfRule type="expression" dxfId="31" priority="6">
      <formula>$C$35=0</formula>
    </cfRule>
  </conditionalFormatting>
  <conditionalFormatting sqref="C40:C42">
    <cfRule type="expression" dxfId="30" priority="5">
      <formula xml:space="preserve"> $B$26="Application not possible"</formula>
    </cfRule>
  </conditionalFormatting>
  <conditionalFormatting sqref="C40:C42 C44:C48">
    <cfRule type="expression" dxfId="29" priority="4">
      <formula>$D$18&lt;&gt;""</formula>
    </cfRule>
  </conditionalFormatting>
  <conditionalFormatting sqref="C43:D43">
    <cfRule type="expression" dxfId="28" priority="3">
      <formula>$D$18&lt;&gt;""</formula>
    </cfRule>
  </conditionalFormatting>
  <conditionalFormatting sqref="C49:D49">
    <cfRule type="expression" dxfId="27" priority="2">
      <formula>$D$18&lt;&gt;""</formula>
    </cfRule>
  </conditionalFormatting>
  <conditionalFormatting sqref="B21:C21">
    <cfRule type="expression" dxfId="26" priority="26">
      <formula>$B$26=OR($J$19,$B$26)</formula>
    </cfRule>
  </conditionalFormatting>
  <conditionalFormatting sqref="R25:S25">
    <cfRule type="expression" dxfId="25" priority="1">
      <formula>$B$26=OR($J$19,$B$26)</formula>
    </cfRule>
  </conditionalFormatting>
  <dataValidations count="5">
    <dataValidation type="decimal" allowBlank="1" showInputMessage="1" showErrorMessage="1" sqref="C16" xr:uid="{00000000-0002-0000-0100-000000000000}">
      <formula1>0</formula1>
      <formula2>90</formula2>
    </dataValidation>
    <dataValidation type="list" allowBlank="1" showInputMessage="1" showErrorMessage="1" sqref="C17" xr:uid="{00000000-0002-0000-0100-000001000000}">
      <formula1>$K$8:$U$8</formula1>
    </dataValidation>
    <dataValidation type="list" allowBlank="1" showInputMessage="1" showErrorMessage="1" sqref="C18" xr:uid="{00000000-0002-0000-0100-000002000000}">
      <formula1>$J$45:$J$49</formula1>
    </dataValidation>
    <dataValidation type="list" allowBlank="1" showInputMessage="1" showErrorMessage="1" sqref="C15" xr:uid="{00000000-0002-0000-0100-000003000000}">
      <formula1>$P$3:$P$4</formula1>
    </dataValidation>
    <dataValidation type="list" allowBlank="1" showInputMessage="1" showErrorMessage="1" sqref="C14" xr:uid="{00000000-0002-0000-0100-000004000000}">
      <formula1>$N$3:$N$4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249977111117893"/>
  </sheetPr>
  <dimension ref="B1:R40"/>
  <sheetViews>
    <sheetView showGridLines="0" workbookViewId="0">
      <selection activeCell="L30" sqref="L30"/>
    </sheetView>
  </sheetViews>
  <sheetFormatPr defaultColWidth="8.85546875" defaultRowHeight="15" x14ac:dyDescent="0.25"/>
  <cols>
    <col min="1" max="1" width="8.85546875" style="61"/>
    <col min="2" max="2" width="3.7109375" style="61" bestFit="1" customWidth="1"/>
    <col min="3" max="3" width="28.42578125" style="61" customWidth="1"/>
    <col min="4" max="14" width="10.7109375" style="61" customWidth="1"/>
    <col min="15" max="16384" width="8.85546875" style="61"/>
  </cols>
  <sheetData>
    <row r="1" spans="2:18" ht="45.75" thickBot="1" x14ac:dyDescent="0.65">
      <c r="B1" s="183" t="s">
        <v>88</v>
      </c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</row>
    <row r="2" spans="2:18" x14ac:dyDescent="0.25">
      <c r="B2" s="176"/>
      <c r="C2" s="176"/>
      <c r="D2" s="177" t="s">
        <v>82</v>
      </c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9"/>
    </row>
    <row r="3" spans="2:18" ht="15.75" thickBot="1" x14ac:dyDescent="0.3">
      <c r="B3" s="176"/>
      <c r="C3" s="176"/>
      <c r="D3" s="62">
        <v>1</v>
      </c>
      <c r="E3" s="63">
        <v>2</v>
      </c>
      <c r="F3" s="63">
        <v>3</v>
      </c>
      <c r="G3" s="63">
        <v>4</v>
      </c>
      <c r="H3" s="63">
        <v>5</v>
      </c>
      <c r="I3" s="63">
        <v>6</v>
      </c>
      <c r="J3" s="63">
        <v>7</v>
      </c>
      <c r="K3" s="63">
        <v>8</v>
      </c>
      <c r="L3" s="63">
        <v>9</v>
      </c>
      <c r="M3" s="63">
        <v>10</v>
      </c>
      <c r="N3" s="63">
        <v>11</v>
      </c>
      <c r="O3" s="63">
        <v>12</v>
      </c>
      <c r="P3" s="63">
        <v>13</v>
      </c>
      <c r="Q3" s="63">
        <v>14</v>
      </c>
      <c r="R3" s="64">
        <v>15</v>
      </c>
    </row>
    <row r="4" spans="2:18" ht="15" customHeight="1" x14ac:dyDescent="0.25">
      <c r="B4" s="201" t="s">
        <v>41</v>
      </c>
      <c r="C4" s="146">
        <v>0</v>
      </c>
      <c r="D4" s="153"/>
      <c r="E4" s="67"/>
      <c r="F4" s="67"/>
      <c r="G4" s="67"/>
      <c r="H4" s="67"/>
      <c r="I4" s="67"/>
      <c r="J4" s="67"/>
      <c r="K4" s="67"/>
      <c r="L4" s="67"/>
      <c r="M4" s="67"/>
      <c r="N4" s="67"/>
      <c r="O4" s="155"/>
      <c r="P4" s="155"/>
      <c r="Q4" s="155"/>
      <c r="R4" s="156"/>
    </row>
    <row r="5" spans="2:18" x14ac:dyDescent="0.25">
      <c r="B5" s="202"/>
      <c r="C5" s="147">
        <v>30</v>
      </c>
      <c r="D5" s="150"/>
      <c r="E5" s="71"/>
      <c r="F5" s="71"/>
      <c r="G5" s="71"/>
      <c r="H5" s="71"/>
      <c r="I5" s="71"/>
      <c r="J5" s="71"/>
      <c r="K5" s="71"/>
      <c r="L5" s="71"/>
      <c r="M5" s="71"/>
      <c r="N5" s="71"/>
      <c r="O5" s="154"/>
      <c r="P5" s="154"/>
      <c r="Q5" s="154"/>
      <c r="R5" s="161"/>
    </row>
    <row r="6" spans="2:18" x14ac:dyDescent="0.25">
      <c r="B6" s="202"/>
      <c r="C6" s="147">
        <v>31.5</v>
      </c>
      <c r="D6" s="150"/>
      <c r="E6" s="71"/>
      <c r="F6" s="71"/>
      <c r="G6" s="71"/>
      <c r="H6" s="71"/>
      <c r="I6" s="71"/>
      <c r="J6" s="71"/>
      <c r="K6" s="71"/>
      <c r="L6" s="71"/>
      <c r="M6" s="71"/>
      <c r="N6" s="71"/>
      <c r="O6" s="154"/>
      <c r="P6" s="154"/>
      <c r="Q6" s="149"/>
      <c r="R6" s="161"/>
    </row>
    <row r="7" spans="2:18" x14ac:dyDescent="0.25">
      <c r="B7" s="202"/>
      <c r="C7" s="147">
        <v>37.5</v>
      </c>
      <c r="D7" s="150"/>
      <c r="E7" s="71"/>
      <c r="F7" s="71"/>
      <c r="G7" s="71"/>
      <c r="H7" s="71"/>
      <c r="I7" s="71"/>
      <c r="J7" s="71"/>
      <c r="K7" s="71"/>
      <c r="L7" s="71"/>
      <c r="M7" s="71"/>
      <c r="N7" s="71"/>
      <c r="O7" s="149"/>
      <c r="P7" s="149"/>
      <c r="Q7" s="149"/>
      <c r="R7" s="161"/>
    </row>
    <row r="8" spans="2:18" x14ac:dyDescent="0.25">
      <c r="B8" s="202"/>
      <c r="C8" s="147">
        <v>45</v>
      </c>
      <c r="D8" s="151"/>
      <c r="E8" s="75"/>
      <c r="F8" s="75"/>
      <c r="G8" s="75"/>
      <c r="H8" s="71"/>
      <c r="I8" s="71"/>
      <c r="J8" s="71"/>
      <c r="K8" s="154"/>
      <c r="L8" s="71"/>
      <c r="M8" s="71"/>
      <c r="N8" s="72"/>
      <c r="O8" s="149"/>
      <c r="P8" s="149"/>
      <c r="Q8" s="149"/>
      <c r="R8" s="161"/>
    </row>
    <row r="9" spans="2:18" x14ac:dyDescent="0.25">
      <c r="B9" s="202"/>
      <c r="C9" s="147">
        <v>60</v>
      </c>
      <c r="D9" s="150"/>
      <c r="E9" s="71"/>
      <c r="F9" s="71"/>
      <c r="G9" s="71"/>
      <c r="H9" s="71"/>
      <c r="I9" s="71"/>
      <c r="J9" s="71"/>
      <c r="K9" s="71"/>
      <c r="L9" s="72"/>
      <c r="M9" s="72"/>
      <c r="N9" s="72"/>
      <c r="O9" s="149"/>
      <c r="P9" s="159"/>
      <c r="Q9" s="159"/>
      <c r="R9" s="160"/>
    </row>
    <row r="10" spans="2:18" ht="15.75" thickBot="1" x14ac:dyDescent="0.3">
      <c r="B10" s="203"/>
      <c r="C10" s="148">
        <v>70</v>
      </c>
      <c r="D10" s="152"/>
      <c r="E10" s="87"/>
      <c r="F10" s="87"/>
      <c r="G10" s="87"/>
      <c r="H10" s="87"/>
      <c r="I10" s="87"/>
      <c r="J10" s="87"/>
      <c r="K10" s="88"/>
      <c r="L10" s="88"/>
      <c r="M10" s="88"/>
      <c r="N10" s="88"/>
      <c r="O10" s="157"/>
      <c r="P10" s="157"/>
      <c r="Q10" s="157"/>
      <c r="R10" s="158"/>
    </row>
    <row r="12" spans="2:18" x14ac:dyDescent="0.25">
      <c r="D12" s="91"/>
      <c r="E12" s="61" t="s">
        <v>68</v>
      </c>
    </row>
    <row r="13" spans="2:18" x14ac:dyDescent="0.25">
      <c r="D13" s="92"/>
      <c r="E13" s="61" t="s">
        <v>20</v>
      </c>
    </row>
    <row r="14" spans="2:18" x14ac:dyDescent="0.25">
      <c r="D14" s="76"/>
      <c r="E14" s="61" t="s">
        <v>21</v>
      </c>
    </row>
    <row r="15" spans="2:18" x14ac:dyDescent="0.25">
      <c r="D15" s="93"/>
      <c r="E15" s="61" t="s">
        <v>45</v>
      </c>
    </row>
    <row r="16" spans="2:18" ht="15.75" thickBot="1" x14ac:dyDescent="0.3"/>
    <row r="17" spans="4:14" ht="18.75" x14ac:dyDescent="0.3">
      <c r="D17" s="172" t="s">
        <v>60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85"/>
    </row>
    <row r="18" spans="4:14" x14ac:dyDescent="0.25">
      <c r="D18" s="94" t="s">
        <v>52</v>
      </c>
      <c r="E18" s="165" t="s">
        <v>58</v>
      </c>
      <c r="F18" s="165"/>
      <c r="G18" s="165"/>
      <c r="H18" s="165"/>
      <c r="I18" s="174" t="s">
        <v>53</v>
      </c>
      <c r="J18" s="186"/>
      <c r="K18" s="186"/>
      <c r="L18" s="186"/>
      <c r="M18" s="186"/>
      <c r="N18" s="175"/>
    </row>
    <row r="19" spans="4:14" x14ac:dyDescent="0.25">
      <c r="D19" s="95">
        <v>601754700</v>
      </c>
      <c r="E19" s="166" t="s">
        <v>50</v>
      </c>
      <c r="F19" s="166"/>
      <c r="G19" s="166"/>
      <c r="H19" s="166"/>
      <c r="I19" s="167" t="s">
        <v>62</v>
      </c>
      <c r="J19" s="167"/>
      <c r="K19" s="167"/>
      <c r="L19" s="167"/>
      <c r="M19" s="167"/>
      <c r="N19" s="168"/>
    </row>
    <row r="20" spans="4:14" x14ac:dyDescent="0.25">
      <c r="D20" s="95">
        <v>601754840</v>
      </c>
      <c r="E20" s="166" t="s">
        <v>51</v>
      </c>
      <c r="F20" s="166"/>
      <c r="G20" s="166"/>
      <c r="H20" s="166"/>
      <c r="I20" s="167" t="s">
        <v>63</v>
      </c>
      <c r="J20" s="167"/>
      <c r="K20" s="167"/>
      <c r="L20" s="167"/>
      <c r="M20" s="167"/>
      <c r="N20" s="168"/>
    </row>
    <row r="21" spans="4:14" x14ac:dyDescent="0.25">
      <c r="D21" s="95">
        <v>601751700</v>
      </c>
      <c r="E21" s="166" t="s">
        <v>46</v>
      </c>
      <c r="F21" s="166"/>
      <c r="G21" s="166"/>
      <c r="H21" s="166"/>
      <c r="I21" s="167" t="s">
        <v>84</v>
      </c>
      <c r="J21" s="167"/>
      <c r="K21" s="167"/>
      <c r="L21" s="167"/>
      <c r="M21" s="167"/>
      <c r="N21" s="168"/>
    </row>
    <row r="22" spans="4:14" x14ac:dyDescent="0.25">
      <c r="D22" s="95">
        <v>601752500</v>
      </c>
      <c r="E22" s="166" t="s">
        <v>47</v>
      </c>
      <c r="F22" s="166"/>
      <c r="G22" s="166"/>
      <c r="H22" s="166"/>
      <c r="I22" s="167" t="s">
        <v>85</v>
      </c>
      <c r="J22" s="167"/>
      <c r="K22" s="167"/>
      <c r="L22" s="167"/>
      <c r="M22" s="167"/>
      <c r="N22" s="168"/>
    </row>
    <row r="23" spans="4:14" x14ac:dyDescent="0.25">
      <c r="D23" s="95">
        <v>601755500</v>
      </c>
      <c r="E23" s="166" t="s">
        <v>48</v>
      </c>
      <c r="F23" s="166"/>
      <c r="G23" s="166"/>
      <c r="H23" s="166"/>
      <c r="I23" s="167" t="s">
        <v>86</v>
      </c>
      <c r="J23" s="167"/>
      <c r="K23" s="167"/>
      <c r="L23" s="167"/>
      <c r="M23" s="167"/>
      <c r="N23" s="168"/>
    </row>
    <row r="24" spans="4:14" ht="15.75" thickBot="1" x14ac:dyDescent="0.3">
      <c r="D24" s="96">
        <v>601753500</v>
      </c>
      <c r="E24" s="164" t="s">
        <v>49</v>
      </c>
      <c r="F24" s="164"/>
      <c r="G24" s="164"/>
      <c r="H24" s="164"/>
      <c r="I24" s="169" t="s">
        <v>83</v>
      </c>
      <c r="J24" s="169"/>
      <c r="K24" s="169"/>
      <c r="L24" s="169"/>
      <c r="M24" s="169"/>
      <c r="N24" s="170"/>
    </row>
    <row r="25" spans="4:14" ht="15.75" thickBot="1" x14ac:dyDescent="0.3"/>
    <row r="26" spans="4:14" ht="18.75" x14ac:dyDescent="0.3">
      <c r="D26" s="172" t="s">
        <v>61</v>
      </c>
      <c r="E26" s="173"/>
      <c r="F26" s="173"/>
      <c r="G26" s="173"/>
      <c r="H26" s="173"/>
      <c r="I26" s="173"/>
      <c r="J26" s="173"/>
    </row>
    <row r="27" spans="4:14" x14ac:dyDescent="0.25">
      <c r="D27" s="94" t="s">
        <v>52</v>
      </c>
      <c r="E27" s="165" t="s">
        <v>58</v>
      </c>
      <c r="F27" s="165"/>
      <c r="G27" s="165"/>
      <c r="H27" s="165"/>
      <c r="I27" s="174" t="s">
        <v>59</v>
      </c>
      <c r="J27" s="175"/>
    </row>
    <row r="28" spans="4:14" x14ac:dyDescent="0.25">
      <c r="D28" s="95">
        <v>623560000</v>
      </c>
      <c r="E28" s="166" t="s">
        <v>70</v>
      </c>
      <c r="F28" s="166"/>
      <c r="G28" s="166"/>
      <c r="H28" s="166"/>
      <c r="I28" s="97" t="s">
        <v>54</v>
      </c>
      <c r="J28" s="98"/>
    </row>
    <row r="29" spans="4:14" x14ac:dyDescent="0.25">
      <c r="D29" s="95">
        <v>623561000</v>
      </c>
      <c r="E29" s="166" t="s">
        <v>71</v>
      </c>
      <c r="F29" s="166"/>
      <c r="G29" s="166"/>
      <c r="H29" s="166"/>
      <c r="I29" s="97" t="s">
        <v>54</v>
      </c>
      <c r="J29" s="98"/>
    </row>
    <row r="30" spans="4:14" x14ac:dyDescent="0.25">
      <c r="D30" s="95">
        <v>623562000</v>
      </c>
      <c r="E30" s="166" t="s">
        <v>72</v>
      </c>
      <c r="F30" s="166"/>
      <c r="G30" s="166"/>
      <c r="H30" s="166"/>
      <c r="I30" s="97" t="s">
        <v>54</v>
      </c>
      <c r="J30" s="98"/>
    </row>
    <row r="31" spans="4:14" x14ac:dyDescent="0.25">
      <c r="D31" s="95">
        <v>623564000</v>
      </c>
      <c r="E31" s="166" t="s">
        <v>69</v>
      </c>
      <c r="F31" s="166"/>
      <c r="G31" s="166"/>
      <c r="H31" s="166"/>
      <c r="I31" s="97" t="s">
        <v>55</v>
      </c>
      <c r="J31" s="98"/>
    </row>
    <row r="32" spans="4:14" x14ac:dyDescent="0.25">
      <c r="D32" s="118">
        <v>623565000</v>
      </c>
      <c r="E32" s="171" t="s">
        <v>75</v>
      </c>
      <c r="F32" s="171"/>
      <c r="G32" s="171"/>
      <c r="H32" s="171"/>
      <c r="I32" s="97" t="s">
        <v>55</v>
      </c>
      <c r="J32" s="98"/>
    </row>
    <row r="33" spans="2:10" ht="15.75" thickBot="1" x14ac:dyDescent="0.3">
      <c r="D33" s="96">
        <v>623566000</v>
      </c>
      <c r="E33" s="164" t="s">
        <v>56</v>
      </c>
      <c r="F33" s="164"/>
      <c r="G33" s="164"/>
      <c r="H33" s="164"/>
      <c r="I33" s="99" t="s">
        <v>57</v>
      </c>
      <c r="J33" s="100"/>
    </row>
    <row r="34" spans="2:10" x14ac:dyDescent="0.25">
      <c r="F34" s="101"/>
    </row>
    <row r="40" spans="2:10" x14ac:dyDescent="0.25">
      <c r="B40" s="126" t="s">
        <v>79</v>
      </c>
      <c r="I40" s="126" t="s">
        <v>80</v>
      </c>
    </row>
  </sheetData>
  <mergeCells count="28">
    <mergeCell ref="E31:H31"/>
    <mergeCell ref="E32:H32"/>
    <mergeCell ref="E33:H33"/>
    <mergeCell ref="D2:R2"/>
    <mergeCell ref="B4:B10"/>
    <mergeCell ref="D26:J26"/>
    <mergeCell ref="E27:H27"/>
    <mergeCell ref="I27:J27"/>
    <mergeCell ref="E28:H28"/>
    <mergeCell ref="E29:H29"/>
    <mergeCell ref="E30:H30"/>
    <mergeCell ref="E22:H22"/>
    <mergeCell ref="I22:N22"/>
    <mergeCell ref="E23:H23"/>
    <mergeCell ref="I23:N23"/>
    <mergeCell ref="E24:H24"/>
    <mergeCell ref="I24:N24"/>
    <mergeCell ref="E19:H19"/>
    <mergeCell ref="I19:N19"/>
    <mergeCell ref="E20:H20"/>
    <mergeCell ref="I20:N20"/>
    <mergeCell ref="E21:H21"/>
    <mergeCell ref="I21:N21"/>
    <mergeCell ref="B1:N1"/>
    <mergeCell ref="B2:C3"/>
    <mergeCell ref="D17:N17"/>
    <mergeCell ref="E18:H18"/>
    <mergeCell ref="I18:N18"/>
  </mergeCells>
  <conditionalFormatting sqref="D4:N7 D9:N10 D8:J8 L8:N8">
    <cfRule type="cellIs" dxfId="24" priority="7" operator="between">
      <formula>0</formula>
      <formula>$L$4</formula>
    </cfRule>
    <cfRule type="cellIs" dxfId="23" priority="8" operator="between">
      <formula>$L$4</formula>
      <formula>$L$5</formula>
    </cfRule>
    <cfRule type="cellIs" dxfId="22" priority="9" operator="greaterThan">
      <formula>$L$5</formula>
    </cfRule>
  </conditionalFormatting>
  <conditionalFormatting sqref="D8:J8 L8:N8">
    <cfRule type="cellIs" dxfId="21" priority="6" operator="lessThanOrEqual">
      <formula>$L$3</formula>
    </cfRule>
  </conditionalFormatting>
  <conditionalFormatting sqref="D18:E18">
    <cfRule type="duplicateValues" dxfId="20" priority="2"/>
  </conditionalFormatting>
  <conditionalFormatting sqref="D27:E27">
    <cfRule type="duplicateValues" dxfId="19" priority="1"/>
  </conditionalFormatting>
  <hyperlinks>
    <hyperlink ref="E28:H28" r:id="rId1" display="45 degrees cutters (10pcs)" xr:uid="{00000000-0004-0000-0200-000000000000}"/>
    <hyperlink ref="E29:H29" r:id="rId2" display="R2 2mm - 5/64&quot;  Radius cutters (10 pcs)" xr:uid="{00000000-0004-0000-0200-000001000000}"/>
    <hyperlink ref="E30:H30" r:id="rId3" display="R3 3mm - 1/8&quot; Radius cutters (10 pcs)" xr:uid="{00000000-0004-0000-0200-000002000000}"/>
    <hyperlink ref="E31:H31" r:id="rId4" display="Square Cutters (10pcs)" xr:uid="{00000000-0004-0000-0200-000003000000}"/>
    <hyperlink ref="E33:H33" r:id="rId5" display="Screws for cutters for bevelling tool (10pcs)" xr:uid="{00000000-0004-0000-0200-000004000000}"/>
    <hyperlink ref="E23:H23" r:id="rId6" display="KFMPB 15-10 F " xr:uid="{00000000-0004-0000-0200-000005000000}"/>
    <hyperlink ref="E21:H21" r:id="rId7" display="KFM 9-3 RF " xr:uid="{00000000-0004-0000-0200-000006000000}"/>
    <hyperlink ref="E24:H24" r:id="rId8" display="KFM 16-15 F " xr:uid="{00000000-0004-0000-0200-000007000000}"/>
    <hyperlink ref="E19:H19" r:id="rId9" display="KFM 18 LTX 3 RF 2x 5.5Ah LiHD kit" xr:uid="{00000000-0004-0000-0200-000008000000}"/>
    <hyperlink ref="E20:H20" r:id="rId10" display="KFM 18 LTX 3 RF 18V bare" xr:uid="{00000000-0004-0000-0200-000009000000}"/>
    <hyperlink ref="E22:H22" r:id="rId11" display="KFM 15-10 F " xr:uid="{00000000-0004-0000-0200-00000A000000}"/>
    <hyperlink ref="E32:H32" r:id="rId12" display="Square Cutters Stainless (10pcs)" xr:uid="{00000000-0004-0000-0200-00000B000000}"/>
  </hyperlinks>
  <pageMargins left="0.7" right="0.7" top="0.75" bottom="0.75" header="0.3" footer="0.3"/>
  <pageSetup orientation="portrait" r:id="rId13"/>
  <drawing r:id="rId1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autoPageBreaks="0"/>
  </sheetPr>
  <dimension ref="B1:Y56"/>
  <sheetViews>
    <sheetView showGridLines="0" workbookViewId="0">
      <selection activeCell="C17" sqref="C17"/>
    </sheetView>
  </sheetViews>
  <sheetFormatPr defaultColWidth="8.85546875" defaultRowHeight="15" x14ac:dyDescent="0.25"/>
  <cols>
    <col min="1" max="1" width="1.28515625" style="1" customWidth="1"/>
    <col min="2" max="2" width="20.85546875" style="1" customWidth="1"/>
    <col min="3" max="3" width="17.85546875" style="1" customWidth="1"/>
    <col min="4" max="4" width="7.28515625" style="1" customWidth="1"/>
    <col min="5" max="6" width="8.85546875" style="1"/>
    <col min="7" max="7" width="9.140625" style="1" customWidth="1"/>
    <col min="8" max="8" width="9.140625" style="1" hidden="1" customWidth="1"/>
    <col min="9" max="9" width="3.7109375" style="1" hidden="1" customWidth="1"/>
    <col min="10" max="10" width="30.42578125" style="1" hidden="1" customWidth="1"/>
    <col min="11" max="14" width="14.7109375" style="1" hidden="1" customWidth="1"/>
    <col min="15" max="20" width="12.7109375" style="1" hidden="1" customWidth="1"/>
    <col min="21" max="21" width="9.140625" style="1" hidden="1" customWidth="1"/>
    <col min="22" max="22" width="9.42578125" style="1" hidden="1" customWidth="1"/>
    <col min="23" max="26" width="0" style="1" hidden="1" customWidth="1"/>
    <col min="27" max="16384" width="8.85546875" style="1"/>
  </cols>
  <sheetData>
    <row r="1" spans="2:25" ht="15.75" thickBot="1" x14ac:dyDescent="0.3">
      <c r="D1" s="1" t="s">
        <v>89</v>
      </c>
    </row>
    <row r="2" spans="2:25" x14ac:dyDescent="0.25">
      <c r="D2" s="1" t="s">
        <v>90</v>
      </c>
      <c r="J2" s="2" t="s">
        <v>3</v>
      </c>
      <c r="K2" s="3" t="s">
        <v>81</v>
      </c>
      <c r="L2" s="4" t="s">
        <v>5</v>
      </c>
      <c r="N2" s="5" t="s">
        <v>30</v>
      </c>
      <c r="O2" s="5"/>
      <c r="P2" s="5" t="s">
        <v>7</v>
      </c>
    </row>
    <row r="3" spans="2:25" x14ac:dyDescent="0.25">
      <c r="J3" s="6" t="s">
        <v>0</v>
      </c>
      <c r="K3" s="129">
        <v>4</v>
      </c>
      <c r="L3" s="132">
        <f>K3</f>
        <v>4</v>
      </c>
      <c r="N3" s="5">
        <v>0.1</v>
      </c>
      <c r="O3" s="5" t="s">
        <v>31</v>
      </c>
      <c r="P3" s="5" t="s">
        <v>8</v>
      </c>
    </row>
    <row r="4" spans="2:25" x14ac:dyDescent="0.25">
      <c r="J4" s="9" t="s">
        <v>1</v>
      </c>
      <c r="K4" s="130">
        <v>10</v>
      </c>
      <c r="L4" s="133">
        <f t="shared" ref="L4:L5" si="0">K4*SIN(45*PI()/180)</f>
        <v>7.0710678118654746</v>
      </c>
      <c r="N4" s="5">
        <v>3.9370000000000004E-3</v>
      </c>
      <c r="O4" s="5" t="s">
        <v>32</v>
      </c>
      <c r="P4" s="5" t="s">
        <v>9</v>
      </c>
    </row>
    <row r="5" spans="2:25" ht="15.75" thickBot="1" x14ac:dyDescent="0.3">
      <c r="J5" s="12" t="s">
        <v>2</v>
      </c>
      <c r="K5" s="131">
        <v>15</v>
      </c>
      <c r="L5" s="134">
        <f t="shared" si="0"/>
        <v>10.606601717798211</v>
      </c>
    </row>
    <row r="6" spans="2:25" ht="15.75" thickBot="1" x14ac:dyDescent="0.3">
      <c r="K6" s="15"/>
      <c r="L6" s="16"/>
    </row>
    <row r="7" spans="2:25" x14ac:dyDescent="0.25">
      <c r="I7" s="187" t="s">
        <v>39</v>
      </c>
      <c r="J7" s="188"/>
      <c r="K7" s="191" t="s">
        <v>82</v>
      </c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3"/>
    </row>
    <row r="8" spans="2:25" ht="15.75" thickBot="1" x14ac:dyDescent="0.3">
      <c r="I8" s="189"/>
      <c r="J8" s="190"/>
      <c r="K8" s="29">
        <v>1</v>
      </c>
      <c r="L8" s="30">
        <v>2</v>
      </c>
      <c r="M8" s="30">
        <v>3</v>
      </c>
      <c r="N8" s="30">
        <v>4</v>
      </c>
      <c r="O8" s="30">
        <v>5</v>
      </c>
      <c r="P8" s="30">
        <v>6</v>
      </c>
      <c r="Q8" s="30">
        <v>7</v>
      </c>
      <c r="R8" s="30">
        <v>8</v>
      </c>
      <c r="S8" s="30">
        <v>9</v>
      </c>
      <c r="T8" s="30">
        <v>10</v>
      </c>
      <c r="U8" s="30">
        <v>11</v>
      </c>
      <c r="V8" s="30">
        <v>12</v>
      </c>
      <c r="W8" s="30">
        <v>13</v>
      </c>
      <c r="X8" s="30">
        <v>14</v>
      </c>
      <c r="Y8" s="31">
        <v>15</v>
      </c>
    </row>
    <row r="9" spans="2:25" ht="15" customHeight="1" x14ac:dyDescent="0.25">
      <c r="I9" s="194" t="s">
        <v>41</v>
      </c>
      <c r="J9" s="17">
        <v>0</v>
      </c>
      <c r="K9" s="141">
        <f t="shared" ref="K9:Y15" si="1">K$8*SIN($J9*PI()/180)</f>
        <v>0</v>
      </c>
      <c r="L9" s="142">
        <f t="shared" si="1"/>
        <v>0</v>
      </c>
      <c r="M9" s="142">
        <f t="shared" si="1"/>
        <v>0</v>
      </c>
      <c r="N9" s="142">
        <f t="shared" si="1"/>
        <v>0</v>
      </c>
      <c r="O9" s="142">
        <f t="shared" si="1"/>
        <v>0</v>
      </c>
      <c r="P9" s="142">
        <f t="shared" si="1"/>
        <v>0</v>
      </c>
      <c r="Q9" s="142">
        <f t="shared" si="1"/>
        <v>0</v>
      </c>
      <c r="R9" s="142">
        <f t="shared" si="1"/>
        <v>0</v>
      </c>
      <c r="S9" s="142">
        <f t="shared" si="1"/>
        <v>0</v>
      </c>
      <c r="T9" s="142">
        <f t="shared" si="1"/>
        <v>0</v>
      </c>
      <c r="U9" s="142">
        <f t="shared" si="1"/>
        <v>0</v>
      </c>
      <c r="V9" s="142">
        <f t="shared" si="1"/>
        <v>0</v>
      </c>
      <c r="W9" s="142">
        <f t="shared" si="1"/>
        <v>0</v>
      </c>
      <c r="X9" s="142">
        <f t="shared" si="1"/>
        <v>0</v>
      </c>
      <c r="Y9" s="143">
        <f t="shared" si="1"/>
        <v>0</v>
      </c>
    </row>
    <row r="10" spans="2:25" x14ac:dyDescent="0.25">
      <c r="I10" s="195"/>
      <c r="J10" s="21">
        <v>30</v>
      </c>
      <c r="K10" s="135">
        <f t="shared" si="1"/>
        <v>0.49999999999999994</v>
      </c>
      <c r="L10" s="136">
        <f t="shared" si="1"/>
        <v>0.99999999999999989</v>
      </c>
      <c r="M10" s="136">
        <f t="shared" si="1"/>
        <v>1.4999999999999998</v>
      </c>
      <c r="N10" s="136">
        <f t="shared" si="1"/>
        <v>1.9999999999999998</v>
      </c>
      <c r="O10" s="136">
        <f t="shared" si="1"/>
        <v>2.4999999999999996</v>
      </c>
      <c r="P10" s="136">
        <f t="shared" si="1"/>
        <v>2.9999999999999996</v>
      </c>
      <c r="Q10" s="136">
        <f t="shared" si="1"/>
        <v>3.4999999999999996</v>
      </c>
      <c r="R10" s="136">
        <f t="shared" si="1"/>
        <v>3.9999999999999996</v>
      </c>
      <c r="S10" s="136">
        <f t="shared" si="1"/>
        <v>4.4999999999999991</v>
      </c>
      <c r="T10" s="136">
        <f t="shared" si="1"/>
        <v>4.9999999999999991</v>
      </c>
      <c r="U10" s="136">
        <f t="shared" si="1"/>
        <v>5.4999999999999991</v>
      </c>
      <c r="V10" s="136">
        <f t="shared" si="1"/>
        <v>5.9999999999999991</v>
      </c>
      <c r="W10" s="136">
        <f t="shared" si="1"/>
        <v>6.4999999999999991</v>
      </c>
      <c r="X10" s="136">
        <f t="shared" si="1"/>
        <v>6.9999999999999991</v>
      </c>
      <c r="Y10" s="137">
        <f t="shared" si="1"/>
        <v>7.4999999999999991</v>
      </c>
    </row>
    <row r="11" spans="2:25" x14ac:dyDescent="0.25">
      <c r="I11" s="195"/>
      <c r="J11" s="21">
        <v>31.5</v>
      </c>
      <c r="K11" s="135">
        <f t="shared" si="1"/>
        <v>0.5224985647159488</v>
      </c>
      <c r="L11" s="136">
        <f t="shared" si="1"/>
        <v>1.0449971294318976</v>
      </c>
      <c r="M11" s="136">
        <f t="shared" si="1"/>
        <v>1.5674956941478464</v>
      </c>
      <c r="N11" s="136">
        <f t="shared" si="1"/>
        <v>2.0899942588637952</v>
      </c>
      <c r="O11" s="136">
        <f t="shared" si="1"/>
        <v>2.612492823579744</v>
      </c>
      <c r="P11" s="136">
        <f t="shared" si="1"/>
        <v>3.1349913882956928</v>
      </c>
      <c r="Q11" s="136">
        <f t="shared" si="1"/>
        <v>3.6574899530116416</v>
      </c>
      <c r="R11" s="136">
        <f t="shared" si="1"/>
        <v>4.1799885177275904</v>
      </c>
      <c r="S11" s="136">
        <f t="shared" si="1"/>
        <v>4.7024870824435396</v>
      </c>
      <c r="T11" s="136">
        <f t="shared" si="1"/>
        <v>5.224985647159488</v>
      </c>
      <c r="U11" s="136">
        <f t="shared" si="1"/>
        <v>5.7474842118754363</v>
      </c>
      <c r="V11" s="136">
        <f t="shared" si="1"/>
        <v>6.2699827765913856</v>
      </c>
      <c r="W11" s="136">
        <f t="shared" si="1"/>
        <v>6.7924813413073348</v>
      </c>
      <c r="X11" s="136">
        <f t="shared" si="1"/>
        <v>7.3149799060232832</v>
      </c>
      <c r="Y11" s="137">
        <f t="shared" si="1"/>
        <v>7.8374784707392315</v>
      </c>
    </row>
    <row r="12" spans="2:25" x14ac:dyDescent="0.25">
      <c r="I12" s="195"/>
      <c r="J12" s="21">
        <v>37.5</v>
      </c>
      <c r="K12" s="135">
        <f t="shared" si="1"/>
        <v>0.60876142900872066</v>
      </c>
      <c r="L12" s="136">
        <f t="shared" si="1"/>
        <v>1.2175228580174413</v>
      </c>
      <c r="M12" s="136">
        <f t="shared" si="1"/>
        <v>1.826284287026162</v>
      </c>
      <c r="N12" s="136">
        <f t="shared" si="1"/>
        <v>2.4350457160348826</v>
      </c>
      <c r="O12" s="136">
        <f t="shared" si="1"/>
        <v>3.0438071450436031</v>
      </c>
      <c r="P12" s="136">
        <f t="shared" si="1"/>
        <v>3.6525685740523239</v>
      </c>
      <c r="Q12" s="136">
        <f t="shared" si="1"/>
        <v>4.2613300030610448</v>
      </c>
      <c r="R12" s="136">
        <f t="shared" si="1"/>
        <v>4.8700914320697652</v>
      </c>
      <c r="S12" s="136">
        <f t="shared" si="1"/>
        <v>5.4788528610784857</v>
      </c>
      <c r="T12" s="136">
        <f t="shared" si="1"/>
        <v>6.0876142900872061</v>
      </c>
      <c r="U12" s="136">
        <f t="shared" si="1"/>
        <v>6.6963757190959274</v>
      </c>
      <c r="V12" s="136">
        <f t="shared" si="1"/>
        <v>7.3051371481046479</v>
      </c>
      <c r="W12" s="136">
        <f t="shared" si="1"/>
        <v>7.9138985771133683</v>
      </c>
      <c r="X12" s="136">
        <f t="shared" si="1"/>
        <v>8.5226600061220896</v>
      </c>
      <c r="Y12" s="137">
        <f t="shared" si="1"/>
        <v>9.1314214351308092</v>
      </c>
    </row>
    <row r="13" spans="2:25" x14ac:dyDescent="0.25">
      <c r="I13" s="195"/>
      <c r="J13" s="21">
        <v>45</v>
      </c>
      <c r="K13" s="135">
        <f t="shared" si="1"/>
        <v>0.70710678118654746</v>
      </c>
      <c r="L13" s="136">
        <f t="shared" si="1"/>
        <v>1.4142135623730949</v>
      </c>
      <c r="M13" s="136">
        <f t="shared" si="1"/>
        <v>2.1213203435596424</v>
      </c>
      <c r="N13" s="136">
        <f t="shared" si="1"/>
        <v>2.8284271247461898</v>
      </c>
      <c r="O13" s="136">
        <f t="shared" si="1"/>
        <v>3.5355339059327373</v>
      </c>
      <c r="P13" s="136">
        <f t="shared" si="1"/>
        <v>4.2426406871192848</v>
      </c>
      <c r="Q13" s="136">
        <f t="shared" si="1"/>
        <v>4.9497474683058318</v>
      </c>
      <c r="R13" s="136">
        <f t="shared" si="1"/>
        <v>5.6568542494923797</v>
      </c>
      <c r="S13" s="136">
        <f t="shared" si="1"/>
        <v>6.3639610306789276</v>
      </c>
      <c r="T13" s="136">
        <f t="shared" si="1"/>
        <v>7.0710678118654746</v>
      </c>
      <c r="U13" s="136">
        <f t="shared" si="1"/>
        <v>7.7781745930520216</v>
      </c>
      <c r="V13" s="136">
        <f t="shared" si="1"/>
        <v>8.4852813742385695</v>
      </c>
      <c r="W13" s="136">
        <f t="shared" si="1"/>
        <v>9.1923881554251174</v>
      </c>
      <c r="X13" s="136">
        <f t="shared" si="1"/>
        <v>9.8994949366116636</v>
      </c>
      <c r="Y13" s="137">
        <f t="shared" si="1"/>
        <v>10.606601717798211</v>
      </c>
    </row>
    <row r="14" spans="2:25" ht="15.75" thickBot="1" x14ac:dyDescent="0.3">
      <c r="B14" s="25" t="s">
        <v>16</v>
      </c>
      <c r="C14" s="26"/>
      <c r="I14" s="195"/>
      <c r="J14" s="21">
        <v>60</v>
      </c>
      <c r="K14" s="135">
        <f t="shared" si="1"/>
        <v>0.8660254037844386</v>
      </c>
      <c r="L14" s="136">
        <f t="shared" si="1"/>
        <v>1.7320508075688772</v>
      </c>
      <c r="M14" s="136">
        <f t="shared" si="1"/>
        <v>2.598076211353316</v>
      </c>
      <c r="N14" s="136">
        <f t="shared" si="1"/>
        <v>3.4641016151377544</v>
      </c>
      <c r="O14" s="136">
        <f t="shared" si="1"/>
        <v>4.3301270189221928</v>
      </c>
      <c r="P14" s="136">
        <f t="shared" si="1"/>
        <v>5.196152422706632</v>
      </c>
      <c r="Q14" s="136">
        <f t="shared" si="1"/>
        <v>6.0621778264910704</v>
      </c>
      <c r="R14" s="136">
        <f t="shared" si="1"/>
        <v>6.9282032302755088</v>
      </c>
      <c r="S14" s="136">
        <f t="shared" si="1"/>
        <v>7.7942286340599471</v>
      </c>
      <c r="T14" s="136">
        <f t="shared" si="1"/>
        <v>8.6602540378443855</v>
      </c>
      <c r="U14" s="136">
        <f t="shared" si="1"/>
        <v>9.5262794416288248</v>
      </c>
      <c r="V14" s="136">
        <f t="shared" si="1"/>
        <v>10.392304845413264</v>
      </c>
      <c r="W14" s="136">
        <f t="shared" si="1"/>
        <v>11.258330249197702</v>
      </c>
      <c r="X14" s="136">
        <f t="shared" si="1"/>
        <v>12.124355652982141</v>
      </c>
      <c r="Y14" s="137">
        <f t="shared" si="1"/>
        <v>12.990381056766578</v>
      </c>
    </row>
    <row r="15" spans="2:25" ht="15.75" thickBot="1" x14ac:dyDescent="0.3">
      <c r="B15" s="27" t="s">
        <v>6</v>
      </c>
      <c r="C15" s="102" t="s">
        <v>8</v>
      </c>
      <c r="I15" s="196"/>
      <c r="J15" s="28">
        <v>70</v>
      </c>
      <c r="K15" s="138">
        <f t="shared" si="1"/>
        <v>0.93969262078590832</v>
      </c>
      <c r="L15" s="139">
        <f t="shared" si="1"/>
        <v>1.8793852415718166</v>
      </c>
      <c r="M15" s="139">
        <f t="shared" si="1"/>
        <v>2.8190778623577248</v>
      </c>
      <c r="N15" s="139">
        <f t="shared" si="1"/>
        <v>3.7587704831436333</v>
      </c>
      <c r="O15" s="139">
        <f t="shared" si="1"/>
        <v>4.6984631039295417</v>
      </c>
      <c r="P15" s="139">
        <f t="shared" si="1"/>
        <v>5.6381557247154497</v>
      </c>
      <c r="Q15" s="139">
        <f t="shared" si="1"/>
        <v>6.5778483455013586</v>
      </c>
      <c r="R15" s="139">
        <f t="shared" si="1"/>
        <v>7.5175409662872665</v>
      </c>
      <c r="S15" s="139">
        <f t="shared" si="1"/>
        <v>8.4572335870731745</v>
      </c>
      <c r="T15" s="139">
        <f t="shared" si="1"/>
        <v>9.3969262078590834</v>
      </c>
      <c r="U15" s="139">
        <f t="shared" si="1"/>
        <v>10.336618828644992</v>
      </c>
      <c r="V15" s="139">
        <f t="shared" si="1"/>
        <v>11.276311449430899</v>
      </c>
      <c r="W15" s="139">
        <f t="shared" si="1"/>
        <v>12.216004070216808</v>
      </c>
      <c r="X15" s="139">
        <f t="shared" si="1"/>
        <v>13.155696691002717</v>
      </c>
      <c r="Y15" s="140">
        <f t="shared" si="1"/>
        <v>14.095389311788624</v>
      </c>
    </row>
    <row r="16" spans="2:25" x14ac:dyDescent="0.25">
      <c r="B16" s="27" t="s">
        <v>36</v>
      </c>
      <c r="C16" s="103">
        <v>22.5</v>
      </c>
    </row>
    <row r="17" spans="2:22" ht="15.75" thickBot="1" x14ac:dyDescent="0.3">
      <c r="B17" s="27" t="s">
        <v>10</v>
      </c>
      <c r="C17" s="163">
        <v>10</v>
      </c>
    </row>
    <row r="18" spans="2:22" ht="30" customHeight="1" thickBot="1" x14ac:dyDescent="0.3">
      <c r="B18" s="48" t="s">
        <v>43</v>
      </c>
      <c r="C18" s="105" t="s">
        <v>42</v>
      </c>
      <c r="D18" s="197" t="str">
        <f>_xlfn.IFNA(IF(S25&gt;C23*VLOOKUP(C18,J33:N36,5,FALSE),"Application not possible with this tool (exceeded capacity)",IF(OR(C18=J19,C18=J20),IF(C16&lt;&gt;J13,"Application not possible with this tool, 45 deg angle only",""),"")),"")</f>
        <v/>
      </c>
      <c r="E18" s="197"/>
      <c r="F18" s="197"/>
      <c r="I18" s="34"/>
      <c r="J18" s="35" t="s">
        <v>22</v>
      </c>
      <c r="K18" s="36" t="s">
        <v>23</v>
      </c>
      <c r="L18" s="37" t="s">
        <v>24</v>
      </c>
      <c r="M18" s="37" t="s">
        <v>25</v>
      </c>
      <c r="N18" s="37" t="s">
        <v>29</v>
      </c>
      <c r="O18" s="37"/>
      <c r="P18" s="38"/>
      <c r="R18" s="198" t="s">
        <v>74</v>
      </c>
      <c r="S18" s="199"/>
      <c r="T18" s="200"/>
    </row>
    <row r="19" spans="2:22" ht="15.75" x14ac:dyDescent="0.25">
      <c r="B19" s="32"/>
      <c r="C19" s="26"/>
      <c r="D19" s="197"/>
      <c r="E19" s="197"/>
      <c r="F19" s="197"/>
      <c r="I19" s="41"/>
      <c r="J19" s="42" t="s">
        <v>18</v>
      </c>
      <c r="K19" s="53">
        <f>SUM($K46:K46)*SUM($K46:K46)*TAN(45*PI()/180)/2</f>
        <v>4.4999999999999991</v>
      </c>
      <c r="L19" s="53">
        <f>SUM($K46:L46)*SUM($K46:L46)*TAN(45*PI()/180)/2-K19</f>
        <v>3.5</v>
      </c>
      <c r="M19" s="53">
        <f>SUM($K46:M46)*SUM($K46:M46)*TAN(45*PI()/180)/2-L19-K19</f>
        <v>0</v>
      </c>
      <c r="N19" s="53">
        <f t="shared" ref="N19:N22" si="2">SUM(K19:M19)</f>
        <v>7.9999999999999991</v>
      </c>
      <c r="O19" s="45"/>
      <c r="P19" s="46"/>
      <c r="R19" s="121" t="s">
        <v>76</v>
      </c>
      <c r="S19" s="119" t="s">
        <v>77</v>
      </c>
      <c r="T19" s="123" t="s">
        <v>78</v>
      </c>
      <c r="U19" s="47"/>
    </row>
    <row r="20" spans="2:22" ht="15.75" x14ac:dyDescent="0.25">
      <c r="B20" s="33" t="s">
        <v>15</v>
      </c>
      <c r="C20" s="26"/>
      <c r="D20" s="197"/>
      <c r="E20" s="197"/>
      <c r="F20" s="197"/>
      <c r="I20" s="41"/>
      <c r="J20" s="42" t="s">
        <v>19</v>
      </c>
      <c r="K20" s="53">
        <f>SUM($K47:K47)*SUM($K47:K47)*TAN(45*PI()/180)/2</f>
        <v>4.4999999999999991</v>
      </c>
      <c r="L20" s="53">
        <f>SUM($K47:L47)*SUM($K47:L47)*TAN(45*PI()/180)/2-K20</f>
        <v>3.5</v>
      </c>
      <c r="M20" s="53">
        <f>SUM($K47:M47)*SUM($K47:M47)*TAN(45*PI()/180)/2-L20-K20</f>
        <v>0</v>
      </c>
      <c r="N20" s="53">
        <f t="shared" si="2"/>
        <v>7.9999999999999991</v>
      </c>
      <c r="O20" s="45"/>
      <c r="P20" s="46"/>
      <c r="R20" s="116" t="s">
        <v>18</v>
      </c>
      <c r="S20" s="120">
        <f t="shared" ref="S20:S23" si="3">SQRT(N19*2/TAN($C$16*PI()/180))</f>
        <v>6.2150958961201495</v>
      </c>
      <c r="T20" s="124">
        <f>S20</f>
        <v>6.2150958961201495</v>
      </c>
      <c r="U20" s="47"/>
      <c r="V20" s="47"/>
    </row>
    <row r="21" spans="2:22" ht="15.75" x14ac:dyDescent="0.25">
      <c r="B21" s="27" t="s">
        <v>27</v>
      </c>
      <c r="C21" s="162">
        <f>S25</f>
        <v>3.8268343236508979</v>
      </c>
      <c r="D21" s="40" t="str">
        <f>IF(OR(B27=J19,B27=J20),"x and h are the same for this model","")</f>
        <v/>
      </c>
      <c r="E21" s="15"/>
      <c r="I21" s="41"/>
      <c r="J21" s="42" t="s">
        <v>20</v>
      </c>
      <c r="K21" s="53">
        <f>SUM($K48:K48)*SUM($K48:K48)*TAN(45*PI()/180)/2</f>
        <v>17.999999999999996</v>
      </c>
      <c r="L21" s="53">
        <f>SUM($K48:L48)*SUM($K48:L48)*TAN(45*PI()/180)/2-K21</f>
        <v>18.124999999999996</v>
      </c>
      <c r="M21" s="53">
        <f>SUM($K48:M48)*SUM($K48:M48)*TAN(45*PI()/180)/2-L21-K21</f>
        <v>13.875</v>
      </c>
      <c r="N21" s="53">
        <f t="shared" si="2"/>
        <v>49.999999999999993</v>
      </c>
      <c r="O21" s="45"/>
      <c r="P21" s="46"/>
      <c r="R21" s="116" t="s">
        <v>19</v>
      </c>
      <c r="S21" s="120">
        <f t="shared" si="3"/>
        <v>6.2150958961201495</v>
      </c>
      <c r="T21" s="124">
        <f>S21</f>
        <v>6.2150958961201495</v>
      </c>
      <c r="U21" s="47"/>
      <c r="V21" s="47"/>
    </row>
    <row r="22" spans="2:22" ht="15.75" x14ac:dyDescent="0.25">
      <c r="B22" s="48" t="s">
        <v>11</v>
      </c>
      <c r="C22" s="162">
        <f>S26</f>
        <v>10.82392200292394</v>
      </c>
      <c r="I22" s="41"/>
      <c r="J22" s="42" t="s">
        <v>21</v>
      </c>
      <c r="K22" s="53">
        <f>SUM($K49:K49)*SUM($K49:K49)*TAN(45*PI()/180)/2</f>
        <v>40.499999999999993</v>
      </c>
      <c r="L22" s="53">
        <f>SUM($K49:L49)*SUM($K49:L49)*TAN(45*PI()/180)/2-K22</f>
        <v>35.145000000000003</v>
      </c>
      <c r="M22" s="53">
        <f>SUM($K49:M49)*SUM($K49:M49)*TAN(45*PI()/180)/2-L22-K22</f>
        <v>36.854999999999997</v>
      </c>
      <c r="N22" s="53">
        <f t="shared" si="2"/>
        <v>112.5</v>
      </c>
      <c r="O22" s="45"/>
      <c r="P22" s="46"/>
      <c r="R22" s="116" t="s">
        <v>20</v>
      </c>
      <c r="S22" s="120">
        <f t="shared" si="3"/>
        <v>15.537739740300372</v>
      </c>
      <c r="T22" s="124">
        <f>S22*SIN(45*PI()/180)</f>
        <v>10.986841134678098</v>
      </c>
      <c r="U22" s="47"/>
      <c r="V22" s="47"/>
    </row>
    <row r="23" spans="2:22" ht="16.5" thickBot="1" x14ac:dyDescent="0.3">
      <c r="B23" s="114" t="s">
        <v>73</v>
      </c>
      <c r="C23" s="144">
        <f>0.1</f>
        <v>0.1</v>
      </c>
      <c r="I23" s="41"/>
      <c r="J23" s="45" t="s">
        <v>42</v>
      </c>
      <c r="K23" s="45"/>
      <c r="L23" s="45"/>
      <c r="M23" s="45"/>
      <c r="N23" s="45"/>
      <c r="O23" s="45"/>
      <c r="P23" s="46"/>
      <c r="R23" s="117" t="s">
        <v>21</v>
      </c>
      <c r="S23" s="122">
        <f t="shared" si="3"/>
        <v>23.306609610450561</v>
      </c>
      <c r="T23" s="125">
        <f>S23*SIN(45*PI()/180)</f>
        <v>16.480261702017149</v>
      </c>
      <c r="V23" s="47"/>
    </row>
    <row r="24" spans="2:22" x14ac:dyDescent="0.25">
      <c r="B24" s="49"/>
      <c r="C24" s="50">
        <f>C17*SIN(C16*PI()/180)</f>
        <v>3.8268343236508979</v>
      </c>
      <c r="I24" s="41"/>
      <c r="J24" s="45"/>
      <c r="K24" s="45"/>
      <c r="L24" s="45"/>
      <c r="M24" s="45"/>
      <c r="N24" s="45"/>
      <c r="O24" s="45"/>
      <c r="P24" s="46"/>
    </row>
    <row r="25" spans="2:22" x14ac:dyDescent="0.25">
      <c r="B25" s="25" t="s">
        <v>44</v>
      </c>
      <c r="I25" s="41"/>
      <c r="J25" s="51" t="s">
        <v>37</v>
      </c>
      <c r="K25" s="45" t="s">
        <v>23</v>
      </c>
      <c r="L25" s="45" t="s">
        <v>24</v>
      </c>
      <c r="M25" s="45" t="s">
        <v>25</v>
      </c>
      <c r="N25" s="45" t="s">
        <v>26</v>
      </c>
      <c r="O25" s="45" t="s">
        <v>29</v>
      </c>
      <c r="P25" s="46"/>
      <c r="R25" s="27" t="s">
        <v>27</v>
      </c>
      <c r="S25" s="127">
        <f>IF(OR(B27=J19,B27=J20),C17,C17*SIN(C16*PI()/180))</f>
        <v>3.8268343236508979</v>
      </c>
    </row>
    <row r="26" spans="2:22" x14ac:dyDescent="0.25">
      <c r="B26" s="1" t="str">
        <f>IF(C15=P4,IF(OR(C24&gt;L3,C16&lt;&gt;J13),"Application not possible",J19),IF(C24&gt;L5,"Application not possible",IF(C24&gt;L4,J22, IF(C24&gt;L3,J21,IF(C16=45,J20,J21)))))</f>
        <v>KFM 15-10 F or KFMPB 15-10 F</v>
      </c>
      <c r="I26" s="41"/>
      <c r="J26" s="42" t="str">
        <f t="shared" ref="J26:J29" si="4">J19</f>
        <v>KFM 18 LTX 3RF</v>
      </c>
      <c r="K26" s="53">
        <f>SUM($K52:K52)*SUM($K52:K52)*TAN(45*PI()/180)/2</f>
        <v>3.1249999999999996</v>
      </c>
      <c r="L26" s="53">
        <f>SUM($K52:L52)*SUM($K52:L52)*TAN(45*PI()/180)/2-K26</f>
        <v>2.9999999999999996</v>
      </c>
      <c r="M26" s="53">
        <f>SUM($K52:M52)*SUM($K52:M52)*TAN(45*PI()/180)/2-L26-K26</f>
        <v>1.8750000000000004</v>
      </c>
      <c r="N26" s="53">
        <f>SUM($K52:N52)*SUM($K52:N52)*TAN(45*PI()/180)/2-M26-L26-K26</f>
        <v>0</v>
      </c>
      <c r="O26" s="53">
        <f t="shared" ref="O26:O29" si="5">SUM(K26:N26)</f>
        <v>8</v>
      </c>
      <c r="P26" s="46"/>
      <c r="R26" s="48" t="s">
        <v>11</v>
      </c>
      <c r="S26" s="127">
        <f>C17/COS(C16*PI()/180)</f>
        <v>10.82392200292394</v>
      </c>
    </row>
    <row r="27" spans="2:22" x14ac:dyDescent="0.25">
      <c r="B27" s="60" t="str">
        <f>IF(C18=J23,B26,C18)</f>
        <v>KFM 15-10 F or KFMPB 15-10 F</v>
      </c>
      <c r="I27" s="41"/>
      <c r="J27" s="42" t="str">
        <f t="shared" si="4"/>
        <v>KFM 9-3 RF</v>
      </c>
      <c r="K27" s="53">
        <f>SUM($K53:K53)*SUM($K53:K53)*TAN(45*PI()/180)/2</f>
        <v>3.1249999999999996</v>
      </c>
      <c r="L27" s="53">
        <f>SUM($K53:L53)*SUM($K53:L53)*TAN(45*PI()/180)/2-K27</f>
        <v>2.9999999999999996</v>
      </c>
      <c r="M27" s="53">
        <f>SUM($K53:M53)*SUM($K53:M53)*TAN(45*PI()/180)/2-L27-K27</f>
        <v>1.8750000000000004</v>
      </c>
      <c r="N27" s="53">
        <f>SUM($K53:N53)*SUM($K53:N53)*TAN(45*PI()/180)/2-M27-L27-K27</f>
        <v>0</v>
      </c>
      <c r="O27" s="53">
        <f t="shared" si="5"/>
        <v>8</v>
      </c>
      <c r="P27" s="46"/>
      <c r="R27" s="114" t="s">
        <v>73</v>
      </c>
      <c r="S27" s="128">
        <f>0.1</f>
        <v>0.1</v>
      </c>
    </row>
    <row r="28" spans="2:22" x14ac:dyDescent="0.25">
      <c r="B28" s="25" t="s">
        <v>17</v>
      </c>
      <c r="I28" s="41"/>
      <c r="J28" s="42" t="str">
        <f t="shared" si="4"/>
        <v>KFM 15-10 F or KFMPB 15-10 F</v>
      </c>
      <c r="K28" s="53">
        <f>SUM($K54:K54)*SUM($K54:K54)*TAN(45*PI()/180)/2</f>
        <v>12.499999999999998</v>
      </c>
      <c r="L28" s="53">
        <f>SUM($K54:L54)*SUM($K54:L54)*TAN(45*PI()/180)/2-K28</f>
        <v>11.999999999999998</v>
      </c>
      <c r="M28" s="53">
        <f>SUM($K54:M54)*SUM($K54:M54)*TAN(45*PI()/180)/2-L28-K28</f>
        <v>13.781249999999995</v>
      </c>
      <c r="N28" s="53">
        <f>SUM($K54:N54)*SUM($K54:N54)*TAN(45*PI()/180)/2-M28-L28-K28</f>
        <v>11.718750000000002</v>
      </c>
      <c r="O28" s="53">
        <f t="shared" si="5"/>
        <v>49.999999999999993</v>
      </c>
      <c r="P28" s="46"/>
    </row>
    <row r="29" spans="2:22" x14ac:dyDescent="0.25">
      <c r="B29" s="32" t="s">
        <v>12</v>
      </c>
      <c r="C29" s="145">
        <f>MROUND(MIN(C23*VLOOKUP(B27,J33:N36,2,FALSE),S25),1/64)</f>
        <v>3.828125</v>
      </c>
      <c r="D29" s="40">
        <f t="shared" ref="D29:D31" si="6">ROUNDDOWN(C29/$C$23,0)</f>
        <v>38</v>
      </c>
      <c r="E29" s="1" t="s">
        <v>34</v>
      </c>
      <c r="I29" s="41"/>
      <c r="J29" s="42" t="str">
        <f t="shared" si="4"/>
        <v>KFM 16-15 F</v>
      </c>
      <c r="K29" s="53">
        <f>SUM($K55:K55)*SUM($K55:K55)*TAN(45*PI()/180)/2</f>
        <v>31.999999999999996</v>
      </c>
      <c r="L29" s="53">
        <f>SUM($K55:L55)*SUM($K55:L55)*TAN(45*PI()/180)/2-K29</f>
        <v>28.499999999999996</v>
      </c>
      <c r="M29" s="53">
        <f>SUM($K55:M55)*SUM($K55:M55)*TAN(45*PI()/180)/2-L29-K29</f>
        <v>27.281249999999989</v>
      </c>
      <c r="N29" s="53">
        <f>SUM($K55:N55)*SUM($K55:N55)*TAN(45*PI()/180)/2-M29-L29-K29</f>
        <v>24.718750000000004</v>
      </c>
      <c r="O29" s="53">
        <f t="shared" si="5"/>
        <v>112.49999999999999</v>
      </c>
      <c r="P29" s="46"/>
    </row>
    <row r="30" spans="2:22" ht="15.75" thickBot="1" x14ac:dyDescent="0.3">
      <c r="B30" s="32" t="s">
        <v>13</v>
      </c>
      <c r="C30" s="145">
        <f>MROUND(IF(C29&gt;=S25,0,MIN(S25-C29,C23*VLOOKUP(B27,J33:N36,3,FALSE))),1/64)</f>
        <v>0</v>
      </c>
      <c r="D30" s="40">
        <f t="shared" si="6"/>
        <v>0</v>
      </c>
      <c r="E30" s="1" t="s">
        <v>34</v>
      </c>
      <c r="I30" s="54"/>
      <c r="J30" s="55"/>
      <c r="K30" s="55"/>
      <c r="L30" s="55"/>
      <c r="M30" s="55"/>
      <c r="N30" s="55"/>
      <c r="O30" s="55"/>
      <c r="P30" s="56"/>
    </row>
    <row r="31" spans="2:22" x14ac:dyDescent="0.25">
      <c r="B31" s="32" t="s">
        <v>14</v>
      </c>
      <c r="C31" s="145">
        <f>MROUND(IF((C30+C29)&gt;=S25,0,MIN(S25-C29-C30,VLOOKUP(B27,R20:T23,3,FALSE)-C30-C29)),1/64)</f>
        <v>0</v>
      </c>
      <c r="D31" s="40">
        <f t="shared" si="6"/>
        <v>0</v>
      </c>
      <c r="E31" s="1" t="s">
        <v>34</v>
      </c>
      <c r="I31" s="34"/>
      <c r="J31" s="37"/>
      <c r="K31" s="37"/>
      <c r="L31" s="37"/>
      <c r="M31" s="37"/>
      <c r="N31" s="37"/>
      <c r="O31" s="37"/>
      <c r="P31" s="38"/>
    </row>
    <row r="32" spans="2:22" x14ac:dyDescent="0.25">
      <c r="C32" s="109"/>
      <c r="D32" s="110"/>
      <c r="I32" s="41"/>
      <c r="J32" s="51" t="s">
        <v>33</v>
      </c>
      <c r="K32" s="52" t="s">
        <v>23</v>
      </c>
      <c r="L32" s="45" t="s">
        <v>24</v>
      </c>
      <c r="M32" s="45" t="s">
        <v>25</v>
      </c>
      <c r="N32" s="45" t="s">
        <v>29</v>
      </c>
      <c r="O32" s="45"/>
      <c r="P32" s="46"/>
    </row>
    <row r="33" spans="2:16" x14ac:dyDescent="0.25">
      <c r="B33" s="25" t="s">
        <v>35</v>
      </c>
      <c r="I33" s="41"/>
      <c r="J33" s="42" t="s">
        <v>18</v>
      </c>
      <c r="K33" s="113">
        <f t="shared" ref="K33:M34" si="7">ROUNDDOWN(K46*10,0)</f>
        <v>30</v>
      </c>
      <c r="L33" s="113">
        <f t="shared" si="7"/>
        <v>10</v>
      </c>
      <c r="M33" s="113">
        <f t="shared" si="7"/>
        <v>0</v>
      </c>
      <c r="N33" s="113">
        <f>SUM(K33:M33)</f>
        <v>40</v>
      </c>
      <c r="O33" s="45"/>
      <c r="P33" s="46"/>
    </row>
    <row r="34" spans="2:16" x14ac:dyDescent="0.25">
      <c r="B34" s="32" t="s">
        <v>12</v>
      </c>
      <c r="C34" s="145">
        <f>MROUND(MIN(C23*VLOOKUP(B27,J39:O42,2,FALSE),S25),1/64)</f>
        <v>3.5</v>
      </c>
      <c r="D34" s="40">
        <f t="shared" ref="D34:D37" si="8">ROUNDDOWN(C34/$C$23,0)</f>
        <v>35</v>
      </c>
      <c r="E34" s="1" t="s">
        <v>34</v>
      </c>
      <c r="I34" s="41"/>
      <c r="J34" s="42" t="s">
        <v>19</v>
      </c>
      <c r="K34" s="113">
        <f t="shared" si="7"/>
        <v>30</v>
      </c>
      <c r="L34" s="113">
        <f t="shared" si="7"/>
        <v>10</v>
      </c>
      <c r="M34" s="113">
        <f t="shared" si="7"/>
        <v>0</v>
      </c>
      <c r="N34" s="113">
        <f>SUM(K34:M34)</f>
        <v>40</v>
      </c>
      <c r="O34" s="45"/>
      <c r="P34" s="46"/>
    </row>
    <row r="35" spans="2:16" x14ac:dyDescent="0.25">
      <c r="B35" s="32" t="s">
        <v>13</v>
      </c>
      <c r="C35" s="145">
        <f>MROUND(IF(C34&gt;=S25,0,MIN(S25-C34,C23*VLOOKUP(B27,J39:O42,3,FALSE))),1/64)</f>
        <v>0.328125</v>
      </c>
      <c r="D35" s="40">
        <f t="shared" si="8"/>
        <v>3</v>
      </c>
      <c r="E35" s="1" t="s">
        <v>34</v>
      </c>
      <c r="I35" s="41"/>
      <c r="J35" s="42" t="s">
        <v>20</v>
      </c>
      <c r="K35" s="113">
        <f t="shared" ref="K35:M36" si="9">ROUNDDOWN(K48*10*SIN(45*PI()/180),0)</f>
        <v>42</v>
      </c>
      <c r="L35" s="113">
        <f t="shared" si="9"/>
        <v>17</v>
      </c>
      <c r="M35" s="113">
        <f t="shared" si="9"/>
        <v>10</v>
      </c>
      <c r="N35" s="113">
        <f t="shared" ref="N35" si="10">SUM(K35:M35)</f>
        <v>69</v>
      </c>
      <c r="O35" s="45"/>
      <c r="P35" s="46"/>
    </row>
    <row r="36" spans="2:16" x14ac:dyDescent="0.25">
      <c r="B36" s="32" t="s">
        <v>14</v>
      </c>
      <c r="C36" s="145">
        <f>MROUND(IF(C34+C35&gt;=S25,0,MIN(S25-C34-C35,C23*VLOOKUP(B27,J39:O42,4,FALSE))),1/64)</f>
        <v>0</v>
      </c>
      <c r="D36" s="40">
        <f t="shared" si="8"/>
        <v>0</v>
      </c>
      <c r="E36" s="1" t="s">
        <v>34</v>
      </c>
      <c r="I36" s="41"/>
      <c r="J36" s="42" t="s">
        <v>21</v>
      </c>
      <c r="K36" s="113">
        <f>ROUNDDOWN(K49*10*SIN(45*PI()/180),0)</f>
        <v>63</v>
      </c>
      <c r="L36" s="113">
        <f t="shared" si="9"/>
        <v>23</v>
      </c>
      <c r="M36" s="113">
        <f t="shared" si="9"/>
        <v>19</v>
      </c>
      <c r="N36" s="113">
        <f>SUM(K36:M36)+8</f>
        <v>113</v>
      </c>
      <c r="O36" s="45"/>
      <c r="P36" s="46"/>
    </row>
    <row r="37" spans="2:16" x14ac:dyDescent="0.25">
      <c r="B37" s="32" t="s">
        <v>28</v>
      </c>
      <c r="C37" s="145">
        <f>MROUND(IF((C34+C35+C36)&gt;=S25,0,MIN(S25-C34-C35-C36,VLOOKUP(B27,R20:T23,3,FALSE)-C34-C35-C36)),1/64)</f>
        <v>0</v>
      </c>
      <c r="D37" s="40">
        <f t="shared" si="8"/>
        <v>0</v>
      </c>
      <c r="E37" s="1" t="s">
        <v>34</v>
      </c>
      <c r="I37" s="41"/>
      <c r="J37" s="45" t="s">
        <v>42</v>
      </c>
      <c r="K37" s="45"/>
      <c r="L37" s="45"/>
      <c r="M37" s="45"/>
      <c r="N37" s="45"/>
      <c r="O37" s="45"/>
      <c r="P37" s="46"/>
    </row>
    <row r="38" spans="2:16" x14ac:dyDescent="0.25">
      <c r="C38" s="109"/>
      <c r="D38" s="111"/>
      <c r="I38" s="41"/>
      <c r="J38" s="51" t="s">
        <v>38</v>
      </c>
      <c r="K38" s="45" t="s">
        <v>23</v>
      </c>
      <c r="L38" s="45" t="s">
        <v>24</v>
      </c>
      <c r="M38" s="45" t="s">
        <v>25</v>
      </c>
      <c r="N38" s="45" t="s">
        <v>26</v>
      </c>
      <c r="O38" s="45" t="s">
        <v>29</v>
      </c>
      <c r="P38" s="46"/>
    </row>
    <row r="39" spans="2:16" x14ac:dyDescent="0.25">
      <c r="I39" s="41"/>
      <c r="J39" s="42" t="str">
        <f t="shared" ref="J39:J42" si="11">J33</f>
        <v>KFM 18 LTX 3RF</v>
      </c>
      <c r="K39" s="113">
        <f t="shared" ref="K39:N40" si="12">ROUNDDOWN(K52*10,0)</f>
        <v>25</v>
      </c>
      <c r="L39" s="113">
        <f t="shared" si="12"/>
        <v>10</v>
      </c>
      <c r="M39" s="113">
        <f t="shared" si="12"/>
        <v>5</v>
      </c>
      <c r="N39" s="113">
        <f t="shared" si="12"/>
        <v>0</v>
      </c>
      <c r="O39" s="113">
        <f>SUM(K39:N39)</f>
        <v>40</v>
      </c>
      <c r="P39" s="46"/>
    </row>
    <row r="40" spans="2:16" x14ac:dyDescent="0.25">
      <c r="B40" s="106"/>
      <c r="C40" s="112"/>
      <c r="D40" s="106"/>
      <c r="E40" s="106"/>
      <c r="F40" s="106"/>
      <c r="I40" s="41"/>
      <c r="J40" s="42" t="str">
        <f t="shared" si="11"/>
        <v>KFM 9-3 RF</v>
      </c>
      <c r="K40" s="113">
        <f t="shared" si="12"/>
        <v>25</v>
      </c>
      <c r="L40" s="113">
        <f t="shared" si="12"/>
        <v>10</v>
      </c>
      <c r="M40" s="113">
        <f t="shared" si="12"/>
        <v>5</v>
      </c>
      <c r="N40" s="113">
        <f t="shared" si="12"/>
        <v>0</v>
      </c>
      <c r="O40" s="113">
        <f>SUM(K40:N40)</f>
        <v>40</v>
      </c>
      <c r="P40" s="46"/>
    </row>
    <row r="41" spans="2:16" x14ac:dyDescent="0.25">
      <c r="B41" s="106"/>
      <c r="C41" s="112"/>
      <c r="D41" s="106"/>
      <c r="E41" s="106"/>
      <c r="F41" s="106"/>
      <c r="I41" s="41"/>
      <c r="J41" s="42" t="str">
        <f t="shared" si="11"/>
        <v>KFM 15-10 F or KFMPB 15-10 F</v>
      </c>
      <c r="K41" s="113">
        <f t="shared" ref="K41:N42" si="13">ROUNDDOWN(K54*10*SIN(45*PI()/180),0)</f>
        <v>35</v>
      </c>
      <c r="L41" s="113">
        <f t="shared" si="13"/>
        <v>14</v>
      </c>
      <c r="M41" s="113">
        <f t="shared" si="13"/>
        <v>12</v>
      </c>
      <c r="N41" s="113">
        <f t="shared" si="13"/>
        <v>8</v>
      </c>
      <c r="O41" s="113">
        <f t="shared" ref="O41:O42" si="14">SUM(K41:N41)</f>
        <v>69</v>
      </c>
      <c r="P41" s="46"/>
    </row>
    <row r="42" spans="2:16" x14ac:dyDescent="0.25">
      <c r="B42" s="107"/>
      <c r="C42" s="112"/>
      <c r="D42" s="108"/>
      <c r="E42" s="106"/>
      <c r="F42" s="106"/>
      <c r="I42" s="41"/>
      <c r="J42" s="42" t="str">
        <f t="shared" si="11"/>
        <v>KFM 16-15 F</v>
      </c>
      <c r="K42" s="113">
        <f t="shared" si="13"/>
        <v>56</v>
      </c>
      <c r="L42" s="113">
        <f t="shared" si="13"/>
        <v>21</v>
      </c>
      <c r="M42" s="113">
        <f t="shared" si="13"/>
        <v>15</v>
      </c>
      <c r="N42" s="113">
        <f t="shared" si="13"/>
        <v>12</v>
      </c>
      <c r="O42" s="113">
        <f t="shared" si="14"/>
        <v>104</v>
      </c>
      <c r="P42" s="46"/>
    </row>
    <row r="43" spans="2:16" ht="15.75" thickBot="1" x14ac:dyDescent="0.3">
      <c r="B43" s="108"/>
      <c r="C43" s="109"/>
      <c r="D43" s="110"/>
      <c r="E43" s="106"/>
      <c r="F43" s="106"/>
      <c r="I43" s="54"/>
      <c r="J43" s="55"/>
      <c r="K43" s="55"/>
      <c r="L43" s="55"/>
      <c r="M43" s="55"/>
      <c r="N43" s="55"/>
      <c r="O43" s="55"/>
      <c r="P43" s="56"/>
    </row>
    <row r="44" spans="2:16" x14ac:dyDescent="0.25">
      <c r="B44" s="106"/>
      <c r="C44" s="112"/>
      <c r="D44" s="106"/>
      <c r="E44" s="106"/>
      <c r="F44" s="106"/>
      <c r="I44" s="41"/>
      <c r="J44" s="45"/>
      <c r="K44" s="45"/>
      <c r="L44" s="45"/>
      <c r="M44" s="45"/>
      <c r="N44" s="45"/>
      <c r="O44" s="45"/>
      <c r="P44" s="46"/>
    </row>
    <row r="45" spans="2:16" x14ac:dyDescent="0.25">
      <c r="B45" s="106"/>
      <c r="C45" s="112"/>
      <c r="D45" s="106"/>
      <c r="E45" s="106"/>
      <c r="F45" s="106"/>
      <c r="I45" s="41"/>
      <c r="J45" s="51" t="s">
        <v>33</v>
      </c>
      <c r="K45" s="52" t="s">
        <v>23</v>
      </c>
      <c r="L45" s="45" t="s">
        <v>24</v>
      </c>
      <c r="M45" s="45" t="s">
        <v>25</v>
      </c>
      <c r="N45" s="45" t="s">
        <v>29</v>
      </c>
      <c r="O45" s="45"/>
      <c r="P45" s="46"/>
    </row>
    <row r="46" spans="2:16" x14ac:dyDescent="0.25">
      <c r="B46" s="106"/>
      <c r="C46" s="112"/>
      <c r="D46" s="106"/>
      <c r="E46" s="106"/>
      <c r="F46" s="106"/>
      <c r="I46" s="41"/>
      <c r="J46" s="42" t="s">
        <v>18</v>
      </c>
      <c r="K46" s="59">
        <v>3</v>
      </c>
      <c r="L46" s="59">
        <v>1</v>
      </c>
      <c r="M46" s="59"/>
      <c r="N46" s="59">
        <f>SUM(K46:M46)</f>
        <v>4</v>
      </c>
      <c r="O46" s="45"/>
      <c r="P46" s="46"/>
    </row>
    <row r="47" spans="2:16" x14ac:dyDescent="0.25">
      <c r="B47" s="106"/>
      <c r="C47" s="112"/>
      <c r="D47" s="106"/>
      <c r="E47" s="106"/>
      <c r="F47" s="106"/>
      <c r="I47" s="41"/>
      <c r="J47" s="42" t="s">
        <v>19</v>
      </c>
      <c r="K47" s="59">
        <v>3</v>
      </c>
      <c r="L47" s="59">
        <v>1</v>
      </c>
      <c r="M47" s="59"/>
      <c r="N47" s="59">
        <f>SUM(K47:M47)</f>
        <v>4</v>
      </c>
      <c r="O47" s="45"/>
      <c r="P47" s="46"/>
    </row>
    <row r="48" spans="2:16" x14ac:dyDescent="0.25">
      <c r="B48" s="106"/>
      <c r="C48" s="112"/>
      <c r="D48" s="106"/>
      <c r="E48" s="106"/>
      <c r="F48" s="106"/>
      <c r="I48" s="41"/>
      <c r="J48" s="42" t="s">
        <v>20</v>
      </c>
      <c r="K48" s="59">
        <v>6</v>
      </c>
      <c r="L48" s="59">
        <v>2.5</v>
      </c>
      <c r="M48" s="59">
        <v>1.5</v>
      </c>
      <c r="N48" s="59">
        <f t="shared" ref="N48:N49" si="15">SUM(K48:M48)</f>
        <v>10</v>
      </c>
      <c r="O48" s="45"/>
      <c r="P48" s="46"/>
    </row>
    <row r="49" spans="2:16" x14ac:dyDescent="0.25">
      <c r="B49" s="106"/>
      <c r="C49" s="109"/>
      <c r="D49" s="111"/>
      <c r="E49" s="106"/>
      <c r="F49" s="106"/>
      <c r="I49" s="41"/>
      <c r="J49" s="42" t="s">
        <v>21</v>
      </c>
      <c r="K49" s="59">
        <v>9</v>
      </c>
      <c r="L49" s="59">
        <v>3.3</v>
      </c>
      <c r="M49" s="59">
        <v>2.7</v>
      </c>
      <c r="N49" s="59">
        <f t="shared" si="15"/>
        <v>15</v>
      </c>
      <c r="O49" s="45"/>
      <c r="P49" s="46"/>
    </row>
    <row r="50" spans="2:16" x14ac:dyDescent="0.25">
      <c r="I50" s="41"/>
      <c r="J50" s="45"/>
      <c r="K50" s="45"/>
      <c r="L50" s="45"/>
      <c r="M50" s="45"/>
      <c r="N50" s="45"/>
      <c r="O50" s="45"/>
      <c r="P50" s="46"/>
    </row>
    <row r="51" spans="2:16" x14ac:dyDescent="0.25">
      <c r="I51" s="41"/>
      <c r="J51" s="51" t="s">
        <v>38</v>
      </c>
      <c r="K51" s="45" t="s">
        <v>23</v>
      </c>
      <c r="L51" s="45" t="s">
        <v>24</v>
      </c>
      <c r="M51" s="45" t="s">
        <v>25</v>
      </c>
      <c r="N51" s="45" t="s">
        <v>26</v>
      </c>
      <c r="O51" s="45" t="s">
        <v>29</v>
      </c>
      <c r="P51" s="46"/>
    </row>
    <row r="52" spans="2:16" x14ac:dyDescent="0.25">
      <c r="I52" s="41"/>
      <c r="J52" s="42" t="str">
        <f t="shared" ref="J52:J55" si="16">J46</f>
        <v>KFM 18 LTX 3RF</v>
      </c>
      <c r="K52" s="59">
        <v>2.5</v>
      </c>
      <c r="L52" s="59">
        <v>1</v>
      </c>
      <c r="M52" s="59">
        <v>0.5</v>
      </c>
      <c r="N52" s="59"/>
      <c r="O52" s="59">
        <f>SUM(K52:N52)</f>
        <v>4</v>
      </c>
      <c r="P52" s="46"/>
    </row>
    <row r="53" spans="2:16" x14ac:dyDescent="0.25">
      <c r="I53" s="41"/>
      <c r="J53" s="42" t="str">
        <f t="shared" si="16"/>
        <v>KFM 9-3 RF</v>
      </c>
      <c r="K53" s="59">
        <v>2.5</v>
      </c>
      <c r="L53" s="59">
        <v>1</v>
      </c>
      <c r="M53" s="59">
        <v>0.5</v>
      </c>
      <c r="N53" s="59"/>
      <c r="O53" s="59">
        <f>SUM(K53:N53)</f>
        <v>4</v>
      </c>
      <c r="P53" s="46"/>
    </row>
    <row r="54" spans="2:16" x14ac:dyDescent="0.25">
      <c r="I54" s="41"/>
      <c r="J54" s="42" t="str">
        <f t="shared" si="16"/>
        <v>KFM 15-10 F or KFMPB 15-10 F</v>
      </c>
      <c r="K54" s="59">
        <v>5</v>
      </c>
      <c r="L54" s="59">
        <v>2</v>
      </c>
      <c r="M54" s="59">
        <v>1.75</v>
      </c>
      <c r="N54" s="59">
        <v>1.25</v>
      </c>
      <c r="O54" s="59">
        <f t="shared" ref="O54:O55" si="17">SUM(K54:N54)</f>
        <v>10</v>
      </c>
      <c r="P54" s="46"/>
    </row>
    <row r="55" spans="2:16" x14ac:dyDescent="0.25">
      <c r="I55" s="41"/>
      <c r="J55" s="42" t="str">
        <f t="shared" si="16"/>
        <v>KFM 16-15 F</v>
      </c>
      <c r="K55" s="59">
        <v>8</v>
      </c>
      <c r="L55" s="59">
        <v>3</v>
      </c>
      <c r="M55" s="59">
        <v>2.25</v>
      </c>
      <c r="N55" s="59">
        <v>1.75</v>
      </c>
      <c r="O55" s="59">
        <f t="shared" si="17"/>
        <v>15</v>
      </c>
      <c r="P55" s="46"/>
    </row>
    <row r="56" spans="2:16" ht="15.75" thickBot="1" x14ac:dyDescent="0.3">
      <c r="I56" s="54"/>
      <c r="J56" s="55"/>
      <c r="K56" s="55"/>
      <c r="L56" s="55"/>
      <c r="M56" s="55"/>
      <c r="N56" s="55"/>
      <c r="O56" s="55"/>
      <c r="P56" s="56"/>
    </row>
  </sheetData>
  <sheetProtection algorithmName="SHA-512" hashValue="wdGO3pOGTFVNHprZScF7tICMvxy3NO11qk+GKGrbeVS0Abbpq6x4UZhJeVOODo6x6zCWPDTjGK2QiMxfrlivxg==" saltValue="g9SydsRlw9390W7V4ID8XA==" spinCount="100000" sheet="1" objects="1" scenarios="1"/>
  <mergeCells count="5">
    <mergeCell ref="I7:J8"/>
    <mergeCell ref="I9:I15"/>
    <mergeCell ref="D18:F20"/>
    <mergeCell ref="R18:T18"/>
    <mergeCell ref="K7:Y7"/>
  </mergeCells>
  <conditionalFormatting sqref="K9:Y15">
    <cfRule type="cellIs" dxfId="18" priority="17" operator="between">
      <formula>0</formula>
      <formula>$L$4</formula>
    </cfRule>
    <cfRule type="cellIs" dxfId="17" priority="18" operator="between">
      <formula>$L$4</formula>
      <formula>$L$5</formula>
    </cfRule>
    <cfRule type="cellIs" dxfId="16" priority="19" operator="greaterThan">
      <formula>$L$5</formula>
    </cfRule>
  </conditionalFormatting>
  <conditionalFormatting sqref="K13:Y13">
    <cfRule type="cellIs" dxfId="15" priority="16" operator="lessThanOrEqual">
      <formula>$L$3*SIN(45*PI()/180)</formula>
    </cfRule>
  </conditionalFormatting>
  <conditionalFormatting sqref="B30:E30">
    <cfRule type="expression" dxfId="14" priority="15">
      <formula>$C$30=0</formula>
    </cfRule>
  </conditionalFormatting>
  <conditionalFormatting sqref="B31:E31">
    <cfRule type="expression" dxfId="13" priority="14">
      <formula>$C$31=0</formula>
    </cfRule>
  </conditionalFormatting>
  <conditionalFormatting sqref="B36:E36">
    <cfRule type="expression" dxfId="12" priority="13">
      <formula>$C$36=0</formula>
    </cfRule>
  </conditionalFormatting>
  <conditionalFormatting sqref="B37:E37">
    <cfRule type="expression" dxfId="11" priority="12">
      <formula>$C$37=0</formula>
    </cfRule>
  </conditionalFormatting>
  <conditionalFormatting sqref="B35:E35 C44:C48">
    <cfRule type="expression" dxfId="10" priority="11">
      <formula>$C$35=0</formula>
    </cfRule>
  </conditionalFormatting>
  <conditionalFormatting sqref="B29:F31 C44:C48 B34:F37">
    <cfRule type="expression" dxfId="9" priority="10">
      <formula xml:space="preserve"> $B$26="Application not possible"</formula>
    </cfRule>
  </conditionalFormatting>
  <conditionalFormatting sqref="B42">
    <cfRule type="expression" dxfId="8" priority="9">
      <formula xml:space="preserve"> $B$26="Application not possible"</formula>
    </cfRule>
  </conditionalFormatting>
  <conditionalFormatting sqref="B27:F37">
    <cfRule type="expression" dxfId="7" priority="8">
      <formula>$D$18&lt;&gt;""</formula>
    </cfRule>
  </conditionalFormatting>
  <conditionalFormatting sqref="C38:D38">
    <cfRule type="expression" dxfId="6" priority="7">
      <formula>$D$18&lt;&gt;""</formula>
    </cfRule>
  </conditionalFormatting>
  <conditionalFormatting sqref="C40:C42">
    <cfRule type="expression" dxfId="5" priority="6">
      <formula>$C$35=0</formula>
    </cfRule>
  </conditionalFormatting>
  <conditionalFormatting sqref="C40:C42">
    <cfRule type="expression" dxfId="4" priority="5">
      <formula xml:space="preserve"> $B$26="Application not possible"</formula>
    </cfRule>
  </conditionalFormatting>
  <conditionalFormatting sqref="C40:C42 C44:C48">
    <cfRule type="expression" dxfId="3" priority="4">
      <formula>$D$18&lt;&gt;""</formula>
    </cfRule>
  </conditionalFormatting>
  <conditionalFormatting sqref="C43:D43">
    <cfRule type="expression" dxfId="2" priority="3">
      <formula>$D$18&lt;&gt;""</formula>
    </cfRule>
  </conditionalFormatting>
  <conditionalFormatting sqref="C49:D49">
    <cfRule type="expression" dxfId="1" priority="2">
      <formula>$D$18&lt;&gt;""</formula>
    </cfRule>
  </conditionalFormatting>
  <conditionalFormatting sqref="B21 R25:S25">
    <cfRule type="expression" dxfId="0" priority="20">
      <formula>$B$26=OR($J$19,$B$26)</formula>
    </cfRule>
  </conditionalFormatting>
  <dataValidations count="5">
    <dataValidation type="list" allowBlank="1" showInputMessage="1" showErrorMessage="1" sqref="C14" xr:uid="{00000000-0002-0000-0300-000000000000}">
      <formula1>$N$3:$N$4</formula1>
    </dataValidation>
    <dataValidation type="list" allowBlank="1" showInputMessage="1" showErrorMessage="1" sqref="C15" xr:uid="{00000000-0002-0000-0300-000001000000}">
      <formula1>$P$3:$P$4</formula1>
    </dataValidation>
    <dataValidation type="list" allowBlank="1" showInputMessage="1" showErrorMessage="1" sqref="C18" xr:uid="{00000000-0002-0000-0300-000002000000}">
      <formula1>$J$33:$J$37</formula1>
    </dataValidation>
    <dataValidation type="list" allowBlank="1" showInputMessage="1" showErrorMessage="1" sqref="C17" xr:uid="{00000000-0002-0000-0300-000003000000}">
      <formula1>$K$8:$Y$8</formula1>
    </dataValidation>
    <dataValidation type="decimal" allowBlank="1" showInputMessage="1" showErrorMessage="1" sqref="C16" xr:uid="{00000000-0002-0000-0300-000004000000}">
      <formula1>0</formula1>
      <formula2>90</formula2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Technical Data Imperial</vt:lpstr>
      <vt:lpstr>Calculator Imperial</vt:lpstr>
      <vt:lpstr>Technical Data Metric</vt:lpstr>
      <vt:lpstr>Calculator Metric</vt:lpstr>
      <vt:lpstr>'Calculator Imperial'!AngleDepth</vt:lpstr>
      <vt:lpstr>'Calculator Metric'!AngleDepth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Metabo Beveling Tool Calculation</dc:title>
  <dc:creator>Antoine Derché</dc:creator>
  <cp:lastModifiedBy>Keith Sanders</cp:lastModifiedBy>
  <dcterms:created xsi:type="dcterms:W3CDTF">2016-04-29T19:36:25Z</dcterms:created>
  <dcterms:modified xsi:type="dcterms:W3CDTF">2020-09-02T18:13:12Z</dcterms:modified>
</cp:coreProperties>
</file>